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235db53b265853/Documents/אגודה/תקציב/תשפא/"/>
    </mc:Choice>
  </mc:AlternateContent>
  <xr:revisionPtr revIDLastSave="1029" documentId="13_ncr:1_{7EE11685-3F69-4D76-8DD7-9DFF143B49C4}" xr6:coauthVersionLast="47" xr6:coauthVersionMax="47" xr10:uidLastSave="{D68B8B62-892D-40CA-B1D2-6A844E556D5F}"/>
  <bookViews>
    <workbookView xWindow="-110" yWindow="-110" windowWidth="19420" windowHeight="10420" xr2:uid="{07944E85-7527-4084-B991-89CA34C0CD59}"/>
  </bookViews>
  <sheets>
    <sheet name="תקציב תשפא" sheetId="1" r:id="rId1"/>
    <sheet name="סיכום צפי מול הוצא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2" i="1" l="1"/>
  <c r="Q41" i="1"/>
  <c r="C101" i="1" l="1"/>
  <c r="C35" i="1"/>
  <c r="C37" i="1"/>
  <c r="C128" i="1"/>
  <c r="C124" i="1"/>
  <c r="C123" i="1"/>
  <c r="C122" i="1"/>
  <c r="C121" i="1"/>
  <c r="C111" i="1"/>
  <c r="C110" i="1"/>
  <c r="C105" i="1"/>
  <c r="C102" i="1"/>
  <c r="C103" i="1"/>
  <c r="C83" i="1"/>
  <c r="C82" i="1"/>
  <c r="C71" i="1"/>
  <c r="C68" i="1"/>
  <c r="C65" i="1"/>
  <c r="C64" i="1"/>
  <c r="C59" i="1"/>
  <c r="C53" i="1"/>
  <c r="C45" i="1"/>
  <c r="C42" i="1"/>
  <c r="C46" i="1"/>
  <c r="Q18" i="1"/>
  <c r="Q35" i="1"/>
  <c r="Q19" i="1"/>
  <c r="P44" i="1"/>
  <c r="P43" i="1"/>
  <c r="Q82" i="1" l="1"/>
  <c r="D26" i="1" l="1"/>
  <c r="C26" i="1"/>
  <c r="C31" i="1" l="1"/>
  <c r="Q44" i="1"/>
  <c r="C6" i="2" l="1"/>
  <c r="Q37" i="1"/>
  <c r="Q53" i="1"/>
  <c r="Q31" i="1" l="1"/>
  <c r="Q122" i="1" l="1"/>
  <c r="P31" i="1"/>
  <c r="C5" i="1" l="1"/>
  <c r="C4" i="2" s="1"/>
  <c r="C10" i="2" s="1"/>
  <c r="Q27" i="1" l="1"/>
  <c r="Q103" i="1"/>
  <c r="O31" i="1"/>
  <c r="P27" i="1"/>
  <c r="Q43" i="1"/>
  <c r="O19" i="1"/>
  <c r="N19" i="1"/>
  <c r="P76" i="1"/>
  <c r="Q83" i="1"/>
  <c r="P19" i="1" l="1"/>
  <c r="O27" i="1" l="1"/>
  <c r="O44" i="1" l="1"/>
  <c r="N82" i="1"/>
  <c r="N78" i="1" l="1"/>
  <c r="L31" i="1"/>
  <c r="N31" i="1"/>
  <c r="N53" i="1"/>
  <c r="N27" i="1"/>
  <c r="M27" i="1"/>
  <c r="N43" i="1"/>
  <c r="N101" i="1"/>
  <c r="N44" i="1"/>
  <c r="F5" i="1" l="1"/>
  <c r="O18" i="1"/>
  <c r="O105" i="1"/>
  <c r="N111" i="1"/>
  <c r="N123" i="1" l="1"/>
  <c r="N35" i="1"/>
  <c r="M31" i="1" l="1"/>
  <c r="M19" i="1" l="1"/>
  <c r="M44" i="1"/>
  <c r="M123" i="1" l="1"/>
  <c r="L43" i="1"/>
  <c r="L19" i="1"/>
  <c r="L100" i="1" l="1"/>
  <c r="L105" i="1"/>
  <c r="K31" i="1"/>
  <c r="L27" i="1"/>
  <c r="L124" i="1"/>
  <c r="I71" i="1"/>
  <c r="K27" i="1"/>
  <c r="K83" i="1" l="1"/>
  <c r="K123" i="1"/>
  <c r="L24" i="1"/>
  <c r="K76" i="1"/>
  <c r="L121" i="1"/>
  <c r="L76" i="1"/>
  <c r="J31" i="1" l="1"/>
  <c r="B10" i="2"/>
  <c r="B9" i="2"/>
  <c r="B4" i="2"/>
  <c r="K82" i="1"/>
  <c r="J19" i="1"/>
  <c r="I19" i="1"/>
  <c r="J82" i="1"/>
  <c r="J124" i="1" l="1"/>
  <c r="K121" i="1" l="1"/>
  <c r="K91" i="1"/>
  <c r="K24" i="1"/>
  <c r="I31" i="1"/>
  <c r="J71" i="1"/>
  <c r="J58" i="1"/>
  <c r="G19" i="1"/>
  <c r="I86" i="1"/>
  <c r="J123" i="1" l="1"/>
  <c r="I58" i="1"/>
  <c r="G121" i="1"/>
  <c r="F31" i="1"/>
  <c r="J27" i="1"/>
  <c r="I27" i="1"/>
  <c r="H27" i="1"/>
  <c r="G27" i="1"/>
  <c r="B54" i="1"/>
  <c r="B18" i="2" s="1"/>
  <c r="H31" i="1"/>
  <c r="I121" i="1"/>
  <c r="H86" i="1"/>
  <c r="C86" i="1" s="1"/>
  <c r="H44" i="1"/>
  <c r="H90" i="1"/>
  <c r="H43" i="1"/>
  <c r="H19" i="1"/>
  <c r="H123" i="1"/>
  <c r="C16" i="1" l="1"/>
  <c r="H58" i="1"/>
  <c r="H70" i="1"/>
  <c r="G31" i="1"/>
  <c r="D16" i="1" l="1"/>
  <c r="H41" i="1"/>
  <c r="G87" i="1" l="1"/>
  <c r="G68" i="1"/>
  <c r="F121" i="1"/>
  <c r="D121" i="1" s="1"/>
  <c r="F19" i="1"/>
  <c r="C19" i="1" s="1"/>
  <c r="F37" i="1"/>
  <c r="F27" i="1" l="1"/>
  <c r="D117" i="1" l="1"/>
  <c r="B118" i="1"/>
  <c r="B22" i="2" s="1"/>
  <c r="B5" i="1"/>
  <c r="D5" i="1" s="1"/>
  <c r="E5" i="1" l="1"/>
  <c r="B10" i="1" l="1"/>
  <c r="B11" i="1" s="1"/>
  <c r="B130" i="1"/>
  <c r="B24" i="2" s="1"/>
  <c r="D129" i="1"/>
  <c r="B125" i="1"/>
  <c r="B23" i="2" s="1"/>
  <c r="D124" i="1"/>
  <c r="D123" i="1"/>
  <c r="D122" i="1"/>
  <c r="D116" i="1"/>
  <c r="D115" i="1"/>
  <c r="C114" i="1"/>
  <c r="D114" i="1" s="1"/>
  <c r="C113" i="1"/>
  <c r="D113" i="1" s="1"/>
  <c r="C112" i="1"/>
  <c r="D112" i="1" s="1"/>
  <c r="D111" i="1"/>
  <c r="D110" i="1"/>
  <c r="C109" i="1"/>
  <c r="D109" i="1" s="1"/>
  <c r="C108" i="1"/>
  <c r="D108" i="1" s="1"/>
  <c r="D107" i="1"/>
  <c r="C106" i="1"/>
  <c r="D106" i="1" s="1"/>
  <c r="C104" i="1"/>
  <c r="D104" i="1" s="1"/>
  <c r="D103" i="1"/>
  <c r="D102" i="1"/>
  <c r="D101" i="1"/>
  <c r="C100" i="1"/>
  <c r="D100" i="1" s="1"/>
  <c r="C99" i="1"/>
  <c r="D99" i="1" s="1"/>
  <c r="C98" i="1"/>
  <c r="D98" i="1" s="1"/>
  <c r="D97" i="1"/>
  <c r="C95" i="1"/>
  <c r="B92" i="1"/>
  <c r="B21" i="2" s="1"/>
  <c r="C91" i="1"/>
  <c r="D91" i="1" s="1"/>
  <c r="C90" i="1"/>
  <c r="D90" i="1" s="1"/>
  <c r="C89" i="1"/>
  <c r="D89" i="1" s="1"/>
  <c r="D88" i="1"/>
  <c r="C87" i="1"/>
  <c r="D87" i="1" s="1"/>
  <c r="D86" i="1"/>
  <c r="D84" i="1"/>
  <c r="D83" i="1"/>
  <c r="B79" i="1"/>
  <c r="B20" i="2" s="1"/>
  <c r="C78" i="1"/>
  <c r="D78" i="1" s="1"/>
  <c r="C77" i="1"/>
  <c r="D77" i="1" s="1"/>
  <c r="C76" i="1"/>
  <c r="C75" i="1"/>
  <c r="D75" i="1" s="1"/>
  <c r="B72" i="1"/>
  <c r="B19" i="2" s="1"/>
  <c r="D71" i="1"/>
  <c r="C70" i="1"/>
  <c r="D70" i="1" s="1"/>
  <c r="C69" i="1"/>
  <c r="D69" i="1" s="1"/>
  <c r="D68" i="1"/>
  <c r="C67" i="1"/>
  <c r="D67" i="1" s="1"/>
  <c r="C66" i="1"/>
  <c r="D66" i="1" s="1"/>
  <c r="D65" i="1"/>
  <c r="D64" i="1"/>
  <c r="C63" i="1"/>
  <c r="D63" i="1" s="1"/>
  <c r="C62" i="1"/>
  <c r="D62" i="1" s="1"/>
  <c r="C61" i="1"/>
  <c r="D61" i="1" s="1"/>
  <c r="C60" i="1"/>
  <c r="D60" i="1" s="1"/>
  <c r="D59" i="1"/>
  <c r="C58" i="1"/>
  <c r="D53" i="1"/>
  <c r="C52" i="1"/>
  <c r="D52" i="1" s="1"/>
  <c r="C51" i="1"/>
  <c r="B48" i="1"/>
  <c r="B17" i="2" s="1"/>
  <c r="C47" i="1"/>
  <c r="D47" i="1" s="1"/>
  <c r="D46" i="1"/>
  <c r="D45" i="1"/>
  <c r="C44" i="1"/>
  <c r="D44" i="1" s="1"/>
  <c r="C43" i="1"/>
  <c r="D43" i="1" s="1"/>
  <c r="D42" i="1"/>
  <c r="C41" i="1"/>
  <c r="D41" i="1" s="1"/>
  <c r="B38" i="1"/>
  <c r="B16" i="2" s="1"/>
  <c r="D37" i="1"/>
  <c r="B32" i="1"/>
  <c r="B15" i="2" s="1"/>
  <c r="D31" i="1"/>
  <c r="B28" i="1"/>
  <c r="B14" i="2" s="1"/>
  <c r="C27" i="1"/>
  <c r="D27" i="1" s="1"/>
  <c r="C25" i="1"/>
  <c r="D25" i="1" s="1"/>
  <c r="C24" i="1"/>
  <c r="D24" i="1" s="1"/>
  <c r="C23" i="1"/>
  <c r="D23" i="1" s="1"/>
  <c r="B20" i="1"/>
  <c r="B13" i="2" s="1"/>
  <c r="C18" i="1"/>
  <c r="D18" i="1" s="1"/>
  <c r="C17" i="1"/>
  <c r="D17" i="1" s="1"/>
  <c r="B26" i="2" l="1"/>
  <c r="D76" i="1"/>
  <c r="C79" i="1"/>
  <c r="C20" i="2" s="1"/>
  <c r="C118" i="1"/>
  <c r="D35" i="1"/>
  <c r="C38" i="1"/>
  <c r="D51" i="1"/>
  <c r="D54" i="1" s="1"/>
  <c r="C54" i="1"/>
  <c r="C18" i="2" s="1"/>
  <c r="D128" i="1"/>
  <c r="C130" i="1"/>
  <c r="C125" i="1"/>
  <c r="C92" i="1"/>
  <c r="D19" i="1"/>
  <c r="D20" i="1" s="1"/>
  <c r="C20" i="1"/>
  <c r="C13" i="2" s="1"/>
  <c r="C32" i="1"/>
  <c r="C72" i="1"/>
  <c r="D36" i="1"/>
  <c r="C28" i="1"/>
  <c r="D82" i="1"/>
  <c r="D96" i="1"/>
  <c r="B132" i="1"/>
  <c r="B133" i="1" s="1"/>
  <c r="D58" i="1"/>
  <c r="C11" i="1"/>
  <c r="D11" i="1" s="1"/>
  <c r="C48" i="1"/>
  <c r="D130" i="1" l="1"/>
  <c r="C24" i="2"/>
  <c r="D79" i="1"/>
  <c r="D38" i="1"/>
  <c r="C16" i="2"/>
  <c r="D92" i="1"/>
  <c r="C21" i="2"/>
  <c r="D118" i="1"/>
  <c r="C22" i="2"/>
  <c r="D48" i="1"/>
  <c r="D132" i="1" s="1"/>
  <c r="C17" i="2"/>
  <c r="D32" i="1"/>
  <c r="C15" i="2"/>
  <c r="D28" i="1"/>
  <c r="C14" i="2"/>
  <c r="D72" i="1"/>
  <c r="C19" i="2"/>
  <c r="D125" i="1"/>
  <c r="C23" i="2"/>
  <c r="C133" i="1"/>
  <c r="D133" i="1" s="1"/>
  <c r="C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calcalit</author>
    <author>gizba</author>
    <author>tc={10A33ECB-EDD6-4021-A864-41FCF1E9B4D7}</author>
    <author>tc={8FA8A685-8C93-428A-AE52-97DD8D7D505A}</author>
    <author>tc={50BD0FB1-73CF-4295-AF7F-9268C8EFD697}</author>
  </authors>
  <commentList>
    <comment ref="B5" authorId="0" shapeId="0" xr:uid="{99B4DF15-2783-4211-8A34-AFC405C625A1}">
      <text>
        <r>
          <rPr>
            <sz val="11"/>
            <color rgb="FF000000"/>
            <rFont val="Arial"/>
            <family val="2"/>
          </rPr>
          <t>Fireball:
צפוי עוד X אש"ח ₪ שנשמרים לחירום
5408*130 + 505*100
ירידה של 7% בחברי האגודה תשע"ח</t>
        </r>
      </text>
    </comment>
    <comment ref="E5" authorId="1" shapeId="0" xr:uid="{174C3062-BCF5-4B0C-96A0-8AFAC15F9B5C}">
      <text>
        <r>
          <rPr>
            <b/>
            <sz val="8"/>
            <color indexed="81"/>
            <rFont val="Tahoma"/>
            <family val="2"/>
          </rPr>
          <t>ריכוז דמי חבר נכון ל24/6/20</t>
        </r>
        <r>
          <rPr>
            <sz val="8"/>
            <color indexed="81"/>
            <rFont val="Tahoma"/>
            <family val="2"/>
          </rPr>
          <t xml:space="preserve">
אקדמיה-130+105*4484
מכינות-351*100
הנדסאים-862*130</t>
        </r>
      </text>
    </comment>
    <comment ref="Q18" authorId="2" shapeId="0" xr:uid="{855C6A1F-523F-47F2-89F6-D8CB9F8068E1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WINDOWS 10- מחשב גזבר700
</t>
        </r>
      </text>
    </comment>
    <comment ref="F19" authorId="3" shapeId="0" xr:uid="{10A33ECB-EDD6-4021-A864-41FCF1E9B4D7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ח.כהן 29.8
קניונית בכפר- 45.8
ביג סטוק- 135.9
מקס סטוק - 60
דפוס סתיו - חותמת -90</t>
      </text>
    </comment>
    <comment ref="G19" authorId="4" shapeId="0" xr:uid="{8FA8A685-8C93-428A-AE52-97DD8D7D505A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לישע ביג - 275
באכביסה - 150 (ניקוי יבש ציפי)
תשובה:
    יבוא ושיווק- 5175
תשובה:
    לישע ביג -10 (שיכפול מפתח)</t>
      </text>
    </comment>
    <comment ref="H19" authorId="2" shapeId="0" xr:uid="{65C1D254-1D56-40BE-9119-9EEDBD1FB92A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סתיו דפוס- מעטפות-1053
הום סנטר מדחום-158.9
אמילי (בלונים הפגנה)-7.9
אלונית (סוללות)-91.6</t>
        </r>
      </text>
    </comment>
    <comment ref="I19" authorId="2" shapeId="0" xr:uid="{F2DE03E5-3EE1-434E-9D58-7FAAC09E9C06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כספות חצור- פריצה כספת 500
המדף-5291.21
לישע 24.9- 
ביג סטוק- 57
ח. כהן 154
כספת-450
</t>
        </r>
      </text>
    </comment>
    <comment ref="J19" authorId="2" shapeId="0" xr:uid="{F840AE04-9DE4-44B3-8ED2-AF0F5E426194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קמס 4212-936=3276
קומפיוטרגארד-2661.8
לישע ביג-24.9
רימון-95
</t>
        </r>
      </text>
    </comment>
    <comment ref="L19" authorId="2" shapeId="0" xr:uid="{070006E3-2564-44CD-8A72-C3DFD5E5B8D3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כבל - 45
דפוס סתיו-222
תיקון פנצר גלגל חדש ספאר- 737</t>
        </r>
      </text>
    </comment>
    <comment ref="M19" authorId="2" shapeId="0" xr:uid="{17667724-5AD9-43A1-B118-710CF5499A02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חניון 25+44- יורי
</t>
        </r>
      </text>
    </comment>
    <comment ref="N19" authorId="2" shapeId="0" xr:uid="{2FD33CE1-0185-4183-ACEB-073BD0BD2737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קי אס פי - מקרן 2539
גלטקס -8775
לישע -124
ליאור מרכז -3510
איזי גזיבו-2918 +3947
גרף יבוא ושיווק-776
</t>
        </r>
      </text>
    </comment>
    <comment ref="O19" authorId="2" shapeId="0" xr:uid="{A07BBA38-82DA-4B3C-9F4E-3EB83FA9F3EE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ביטוח טוקטוק-854
</t>
        </r>
      </text>
    </comment>
    <comment ref="P19" authorId="2" shapeId="0" xr:uid="{EDB2CBE3-18E6-4916-967E-73D0C628CECF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פולימיל 1209.78 
לישע- 81
איזי גזיבו- 7060.07
ענק הדיו- 507 (מדפסת סיגל)
</t>
        </r>
      </text>
    </comment>
    <comment ref="Q19" authorId="2" shapeId="0" xr:uid="{F5FF5DDC-A093-4C47-9034-42D2D809146C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טלויזיה - 1800
מעמד לטלויזיה - 589</t>
        </r>
      </text>
    </comment>
    <comment ref="K27" authorId="2" shapeId="0" xr:uid="{67F761FF-6F1A-44EC-9F06-1DDFDE06D0A8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רשם העמותות- 1133
</t>
        </r>
      </text>
    </comment>
    <comment ref="G31" authorId="2" shapeId="0" xr:uid="{5A4C07A1-633E-47CC-877B-9457B5A02EA7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  - פידליס- (11.19) עזרה לסיגל בתחילת שנת תש"פ = 329
</t>
        </r>
      </text>
    </comment>
    <comment ref="H31" authorId="2" shapeId="0" xr:uid="{B11F6BF3-FEDC-47B8-B0FA-5009836F619D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משכורות
אקסלנס-500
ציטב דש-2923.19
מדגל-925
מנורה קהש-265
מנורה -490.25
אלטשולר-425.5
ב. לאומי-4000
מס הכנסה-6989
</t>
        </r>
      </text>
    </comment>
    <comment ref="J31" authorId="2" shapeId="0" xr:uid="{5D870C9D-019F-43C7-BEE7-AC999E0BC35E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 משכורת
ב.לאומי ומס הכנסה
פנסיה
8916.78
</t>
        </r>
      </text>
    </comment>
    <comment ref="N35" authorId="2" shapeId="0" xr:uid="{942DA3A1-2778-48CC-8441-247548D21B55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2 וי וויבז- 4380
</t>
        </r>
      </text>
    </comment>
    <comment ref="Q35" authorId="2" shapeId="0" xr:uid="{FF2BE6FE-46A7-4685-8BBE-7CA58BAF0147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גלטקס- כובעים-3000
</t>
        </r>
      </text>
    </comment>
    <comment ref="F37" authorId="5" shapeId="0" xr:uid="{50BD0FB1-73CF-4295-AF7F-9268C8EFD697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סושימוטו -138
270.97 - ח.כהן
פסטה וזהו - 417
אמילי שדרות - 190 (ציוד חכ"ל)</t>
      </text>
    </comment>
    <comment ref="O37" authorId="2" shapeId="0" xr:uid="{AC9DFE93-A100-4D87-B793-F15C40450909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התאחדות -100
</t>
        </r>
      </text>
    </comment>
    <comment ref="Q37" authorId="2" shapeId="0" xr:uid="{30014C13-13A6-4DA3-94DF-CE12EFC0F814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שלבים- הכשרה עובדים - 2925
</t>
        </r>
      </text>
    </comment>
    <comment ref="H41" authorId="2" shapeId="0" xr:uid="{47B3B085-CC7A-4F98-A03D-35FE4736D93C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גלטקס- השלמתציוד לאריזת מתנות-9670
</t>
        </r>
      </text>
    </comment>
    <comment ref="Q41" authorId="2" shapeId="0" xr:uid="{33F3990A-A6AC-4064-875B-1AF389472896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ארוחות פתיחת שנה </t>
        </r>
      </text>
    </comment>
    <comment ref="H42" authorId="2" shapeId="0" xr:uid="{B07ECFFE-3EA7-4C6E-9BA4-DFF169B2769F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התאחדות-2790
</t>
        </r>
      </text>
    </comment>
    <comment ref="H43" authorId="2" shapeId="0" xr:uid="{598021AB-EE57-4456-A506-2F95D6692979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ח.כהן- ארוח ח"כ -86.11
קניונית בכפר- 136.98
</t>
        </r>
      </text>
    </comment>
    <comment ref="J43" authorId="2" shapeId="0" xr:uid="{2925053A-F7E0-430B-8B61-DC5D3A3832F2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כיבוד ישיבה 84.3 סוף סמסטר א
</t>
        </r>
      </text>
    </comment>
    <comment ref="L43" authorId="2" shapeId="0" xr:uid="{EF0A1A26-1322-4F57-ABC2-222CAC448336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ח.כהן כיבוד ישיבה
300
נתן 112- 
כיבוד ישיבה)
קניונית בכפר 19.8
69.56
מגה -
</t>
        </r>
      </text>
    </comment>
    <comment ref="M43" authorId="2" shapeId="0" xr:uid="{241C043B-EDB9-404D-80D3-D46308F5F907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גרג - ישיבה יורי אילנה
</t>
        </r>
      </text>
    </comment>
    <comment ref="H44" authorId="2" shapeId="0" xr:uid="{270CCA79-AC11-4E65-B467-D60550417A84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תמר את מישל-106.98
</t>
        </r>
      </text>
    </comment>
    <comment ref="M44" authorId="2" shapeId="0" xr:uid="{12B8DE21-F270-402D-8453-B0187F3626F8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שער הנגב- רישיון עסק- 323
</t>
        </r>
      </text>
    </comment>
    <comment ref="O44" authorId="2" shapeId="0" xr:uid="{4F4D5CF4-0461-4801-BA62-6A067DED0284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אימג פרניט - 680</t>
        </r>
      </text>
    </comment>
    <comment ref="P44" authorId="2" shapeId="0" xr:uid="{5C437AC2-EEAB-424C-8102-313B089C0276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חיים וסמדר- מתנה רה"ש-2470
</t>
        </r>
      </text>
    </comment>
    <comment ref="Q44" authorId="2" shapeId="0" xr:uid="{33029CCC-9089-483C-95C4-A05665132377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חיים וסמדר שלום- מתנות רה"ש =2470</t>
        </r>
      </text>
    </comment>
    <comment ref="N53" authorId="2" shapeId="0" xr:uid="{FAF17F72-4AD6-47C4-9B8C-F9544D8DAB1F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חנן ישראל בוהדנה -1350
</t>
        </r>
      </text>
    </comment>
    <comment ref="Q53" authorId="2" shapeId="0" xr:uid="{11E58ECC-7075-448E-8719-DDB0110E291E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מסיעי שדרות- הסעות לסליחות- 2000
</t>
        </r>
      </text>
    </comment>
    <comment ref="H58" authorId="2" shapeId="0" xr:uid="{2A3139E0-CC6C-4409-8E5A-757230E76164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לירז בנגו- קידום שיווק אגודה-4095
</t>
        </r>
      </text>
    </comment>
    <comment ref="I58" authorId="2" shapeId="0" xr:uid="{229FA61F-9BCE-4FEF-B284-7E1A4D8CF5F3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דפוס העיר-53
אימיג 491
טל יגבסקי גרפיקה 300
</t>
        </r>
      </text>
    </comment>
    <comment ref="J58" authorId="2" shapeId="0" xr:uid="{E1A7F275-0716-46CC-AA8C-94D40DDAB1BC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אביב-293
SITEX- 2632.5</t>
        </r>
      </text>
    </comment>
    <comment ref="K58" authorId="2" shapeId="0" xr:uid="{80147AED-B64B-42DF-A83F-EBD65F6281C6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לירז בנזו-5265
</t>
        </r>
      </text>
    </comment>
    <comment ref="P60" authorId="2" shapeId="0" xr:uid="{878D08CA-1FEA-4FB7-A037-D7F9C0B76C98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קורנגה- בניית אתר 8307
תשלום ראשון</t>
        </r>
      </text>
    </comment>
    <comment ref="O61" authorId="2" shapeId="0" xr:uid="{C77BE773-04CF-425E-A90A-F1D631FABD11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גוגל - הגדלת איחסון
</t>
        </r>
      </text>
    </comment>
    <comment ref="I63" authorId="2" shapeId="0" xr:uid="{865D8EAD-E2BB-4B98-A795-EF7C48CCF6D6}">
      <text>
        <r>
          <rPr>
            <b/>
            <sz val="9"/>
            <color indexed="81"/>
            <rFont val="Tahoma"/>
            <family val="2"/>
          </rPr>
          <t xml:space="preserve">gizba:
פולסים-380.25
</t>
        </r>
      </text>
    </comment>
    <comment ref="H65" authorId="2" shapeId="0" xr:uid="{7AFF6844-8B32-44D5-94A6-44CD22212B50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אדיב- 1245
</t>
        </r>
      </text>
    </comment>
    <comment ref="Q65" authorId="2" shapeId="0" xr:uid="{EFA13234-A84C-43F9-BDF4-0CD348091730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אדיב- חולצות תחיל תשפ"ב 1120
</t>
        </r>
      </text>
    </comment>
    <comment ref="G68" authorId="2" shapeId="0" xr:uid="{4EC32B78-2158-4845-8AAC-E1FCCA92D30E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דפוס העיר -875
</t>
        </r>
      </text>
    </comment>
    <comment ref="N68" authorId="2" shapeId="0" xr:uid="{85451EC5-5394-4C73-8D3C-64C5D43F8F03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דפוס העיר 351
</t>
        </r>
      </text>
    </comment>
    <comment ref="Q68" authorId="2" shapeId="0" xr:uid="{B10E2A2B-B4CA-40F1-9C28-928290565E4A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דפוס העיר 550</t>
        </r>
      </text>
    </comment>
    <comment ref="H70" authorId="2" shapeId="0" xr:uid="{7190DF12-C9BB-4B69-AEB5-FAABAD18B467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גפרור דפדפת-(צמידי נייר)-220
</t>
        </r>
      </text>
    </comment>
    <comment ref="H71" authorId="2" shapeId="0" xr:uid="{A0621C31-6F46-44C5-AA9D-CAB5BF918EE4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לירז בנג'ו יחסי ציבור
</t>
        </r>
      </text>
    </comment>
    <comment ref="I71" authorId="2" shapeId="0" xr:uid="{D40C388D-662E-4A76-B908-9FC5DA6F15E1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לירז בנג'ו יחסי ציבור-6435
טל יגודובסקי-300
</t>
        </r>
      </text>
    </comment>
    <comment ref="J71" authorId="2" shapeId="0" xr:uid="{3E06D78F-47EB-4841-8EE7-61CA53C36CE7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לירז בנגו -5265
(קמפיין יחסי ציבור)</t>
        </r>
      </text>
    </comment>
    <comment ref="L71" authorId="2" shapeId="0" xr:uid="{F54F11C9-5793-466B-9F50-C56EA5D10C7E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רני -גרפיקה -200
</t>
        </r>
      </text>
    </comment>
    <comment ref="Q71" authorId="2" shapeId="0" xr:uid="{975185BD-F2BF-4C58-96B5-4A8ED65B6677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פריפיק- 339.64
</t>
        </r>
      </text>
    </comment>
    <comment ref="K76" authorId="2" shapeId="0" xr:uid="{57D8D070-FBB2-4EF2-877F-31A51D5C8310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סושימוטו0 742
</t>
        </r>
      </text>
    </comment>
    <comment ref="N78" authorId="2" shapeId="0" xr:uid="{867C5523-119C-45C3-8DC6-A7B03FF87C60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ממתקי דודו -2000
</t>
        </r>
      </text>
    </comment>
    <comment ref="J82" authorId="2" shapeId="0" xr:uid="{FB2260AA-567B-4D89-BD53-CBF08C3D5D7D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תא דתי- 
10+19.77+33.8
</t>
        </r>
      </text>
    </comment>
    <comment ref="K82" authorId="2" shapeId="0" xr:uid="{A3D89B4F-DD08-4CB4-897C-BE76566EC3B9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קמחא דפסחא-פייסבוק פירסום ממומן-
75+75+125+125
ציוד לקמחא דפסחא סרטון-
אמילי שדרות-11.8
מאפייית ראשונים-53.7
מחסני השוק- 172.3
</t>
        </r>
      </text>
    </comment>
    <comment ref="N82" authorId="2" shapeId="0" xr:uid="{0BA23020-6495-434A-AA02-D4BED5947F9D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איתמר ברוך- 1500
איתמר ברוך - 2000
סיגליתא 1500
גז- 1250
</t>
        </r>
      </text>
    </comment>
    <comment ref="P82" authorId="2" shapeId="0" xr:uid="{10E0CCDD-7CE4-4F7C-9060-51B78306CF5A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לבן ואן- 7605
</t>
        </r>
      </text>
    </comment>
    <comment ref="K83" authorId="2" shapeId="0" xr:uid="{265090AA-4F6E-43BA-B307-F8B9E6A7A394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בוקטוק- תום יער יום האישה -6786
</t>
        </r>
      </text>
    </comment>
    <comment ref="H86" authorId="2" shapeId="0" xr:uid="{E052245C-38E4-4EB0-84CD-C9DFE56EF292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תא דתי
סופר דהן-41.9+222.61
</t>
        </r>
      </text>
    </comment>
    <comment ref="I86" authorId="2" shapeId="0" xr:uid="{DCE9E257-1843-4A62-9E14-16736821F81B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כיבוד ארוע תאים </t>
        </r>
      </text>
    </comment>
    <comment ref="G87" authorId="2" shapeId="0" xr:uid="{C1FB7825-1067-430F-9407-15CF31BAD1B5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מאפיית חורי -10
מאפיית חורי -33.8
סופר דהן - 19.77
</t>
        </r>
      </text>
    </comment>
    <comment ref="H90" authorId="2" shapeId="0" xr:uid="{FDC60AC8-C40B-47E2-802E-EE5EDF98DD1D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המתוקים של בשמת-500
דפוס העיר- פרסום חנוכה -319
ממתקי דודו -30
תפוז- 22.5
שופרסל-63.6
שופרסל - 43.4
בנא-שתיה-319.4
</t>
        </r>
      </text>
    </comment>
    <comment ref="K91" authorId="2" shapeId="0" xr:uid="{B1008824-3270-4E90-A518-6F7166CA53D6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קמחא דפסחא- אינטרספייס = 292.5*2
585
</t>
        </r>
      </text>
    </comment>
    <comment ref="L100" authorId="2" shapeId="0" xr:uid="{4B87AA6A-E11C-49A6-AAAB-A8B3C0A3A442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ספורט ישיר-כדורי סל-4549.81
</t>
        </r>
      </text>
    </comment>
    <comment ref="N101" authorId="2" shapeId="0" xr:uid="{50CB9D6E-100E-415E-98E4-28193D589931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יואב מאור- מיניבוס 4914
</t>
        </r>
      </text>
    </comment>
    <comment ref="Q103" authorId="2" shapeId="0" xr:uid="{157DC9C0-8206-418C-A41F-15790EECB4C9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ספורט ישיר- תלבושות אסא 2150.46</t>
        </r>
      </text>
    </comment>
    <comment ref="P104" authorId="2" shapeId="0" xr:uid="{C9D59DDA-E73C-4CF8-BD8D-B331A1382FD0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אנרג'ים - שולחן פינג פונג 4269.81
</t>
        </r>
      </text>
    </comment>
    <comment ref="L105" authorId="2" shapeId="0" xr:uid="{DC96219B-8057-4FC6-B836-85003E8CA6AF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ענף פריזבי-כדורים 550
</t>
        </r>
      </text>
    </comment>
    <comment ref="F111" authorId="2" shapeId="0" xr:uid="{4D4F28E1-0135-436D-80B2-0CCBB5E044C5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דובי גפן - 1200
</t>
        </r>
      </text>
    </comment>
    <comment ref="P111" authorId="2" shapeId="0" xr:uid="{67DA8BD4-4A92-42E6-8D02-4411361294F2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דובי גפן -6000
</t>
        </r>
      </text>
    </comment>
    <comment ref="G113" authorId="2" shapeId="0" xr:uid="{9853BBC9-4C8F-4289-BC27-EFC555DFD92E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רון וקנין-150
</t>
        </r>
      </text>
    </comment>
    <comment ref="H113" authorId="2" shapeId="0" xr:uid="{16EEEB5D-A67D-4EDD-98D3-DCFDA3F1322D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אורלי אלימלך- אימון פונקצונאלי-400
</t>
        </r>
      </text>
    </comment>
    <comment ref="I114" authorId="2" shapeId="0" xr:uid="{617D5C63-63F8-4010-874F-65B0E4D8F15A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יונתן נוימן (אחירם חבר של חוג יוגה) 525
</t>
        </r>
      </text>
    </comment>
    <comment ref="L114" authorId="2" shapeId="0" xr:uid="{1D4006C1-F27B-47EC-B093-0BCAE6A52DAB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חן וקנין-1000
</t>
        </r>
      </text>
    </comment>
    <comment ref="F121" authorId="2" shapeId="0" xr:uid="{22A34023-35EF-44BE-B4BC-8458D861C379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חומוס של טחינה שדרות -100
חומוס של טחינה - ב"ש -100
</t>
        </r>
      </text>
    </comment>
    <comment ref="G121" authorId="2" shapeId="0" xr:uid="{97515444-EA75-408C-BC8A-9B0BB057349A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וזה זוהר-1500
בנא משקאות-19.8
מקס סטוק- 30
רותי ויטל (די גי) 350
דוגו אומנים -38610
אלונית- דלק ארוע פתיחת שנה- אחירם-93.25
דלק-רכב גרירה (סיגל)-255.28+251.81+250.05
דלק(עדן)-92.25</t>
        </r>
      </text>
    </comment>
    <comment ref="I121" authorId="2" shapeId="0" xr:uid="{6170E256-5D2D-44E7-94C8-7491ABF60794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סיגליתא- רכב עם גרר- 2800+500
</t>
        </r>
      </text>
    </comment>
    <comment ref="K121" authorId="2" shapeId="0" xr:uid="{9EDB40DB-2191-4A20-B33B-2D21D6506291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אושר עד- שתיה ארוע שישי פארק - 505.6
</t>
        </r>
      </text>
    </comment>
    <comment ref="L121" authorId="2" shapeId="0" xr:uid="{359CC69C-2552-489A-A857-B0A7367B2F41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תפוז (דלק שחר אבובטול9 ארוע תחית שנה - 192.29
סופרזול מתן- 209.1 (שישי בפארק)
מיני שני- 69.8
</t>
        </r>
      </text>
    </comment>
    <comment ref="L122" authorId="2" shapeId="0" xr:uid="{0CA82B06-C51E-4D65-9A19-8D5AAB424410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בוקטוק- פול טראנק 39780
</t>
        </r>
      </text>
    </comment>
    <comment ref="Q122" authorId="2" shapeId="0" xr:uid="{220B0CA8-FEEB-44CC-A318-EA0B8BB86386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אקום 884.33
השתתפות חג הבירה - שדרות- 15000
</t>
        </r>
      </text>
    </comment>
    <comment ref="H123" authorId="2" shapeId="0" xr:uid="{78ABF1C4-7C23-4788-9AD1-0FC2DB4709A9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בנא ארוע מחלקות- 358.8
</t>
        </r>
      </text>
    </comment>
    <comment ref="J123" authorId="2" shapeId="0" xr:uid="{A2149BD9-B2B8-4C5F-A225-97DE6D99BDEB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ארוע מדעי מחשב שנה א 452+388
</t>
        </r>
      </text>
    </comment>
    <comment ref="K123" authorId="2" shapeId="0" xr:uid="{C4F5F368-6004-4750-9584-291A74AF07F1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בנא משקאות- שישי בפארק 2698
</t>
        </r>
      </text>
    </comment>
    <comment ref="O123" authorId="2" shapeId="0" xr:uid="{C8CE897C-4B5B-476E-BB91-B07797F8B2A4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מכללת קיי- הופעות עידן חביב ושלומי קוריאט-5110
</t>
        </r>
      </text>
    </comment>
    <comment ref="J124" authorId="2" shapeId="0" xr:uid="{3B94B3DA-D749-4914-9BCF-56EF789708E1}">
      <text>
        <r>
          <rPr>
            <b/>
            <sz val="9"/>
            <color indexed="81"/>
            <rFont val="Tahoma"/>
            <family val="2"/>
          </rPr>
          <t xml:space="preserve">עופר שוורץ- צימר -800
אונ' בן גוריון-7000
ריל טיים-150 פורים
פייסבוק-75.9
</t>
        </r>
      </text>
    </comment>
    <comment ref="L124" authorId="2" shapeId="0" xr:uid="{D733C1D3-4A66-4CFD-BFD5-AF0272A931AC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רייל טיים- אוזניות 410
שופרסל - פרסים
2498
טל יוגודבסרי-1100</t>
        </r>
      </text>
    </comment>
    <comment ref="Q124" authorId="2" shapeId="0" xr:uid="{53215307-5826-4F3D-80F0-390123B21C0D}">
      <text>
        <r>
          <rPr>
            <b/>
            <sz val="9"/>
            <color indexed="81"/>
            <rFont val="Tahoma"/>
            <charset val="177"/>
          </rPr>
          <t>gizba:</t>
        </r>
        <r>
          <rPr>
            <sz val="9"/>
            <color indexed="81"/>
            <rFont val="Tahoma"/>
            <charset val="177"/>
          </rPr>
          <t xml:space="preserve">
פנגויה- 10716
</t>
        </r>
      </text>
    </comment>
    <comment ref="Q129" authorId="2" shapeId="0" xr:uid="{59DF3DDD-52A4-4F4C-90B8-FC439B2E9D8F}">
      <text>
        <r>
          <rPr>
            <b/>
            <sz val="9"/>
            <color indexed="81"/>
            <rFont val="Tahoma"/>
            <family val="2"/>
          </rPr>
          <t>gizba:</t>
        </r>
        <r>
          <rPr>
            <sz val="9"/>
            <color indexed="81"/>
            <rFont val="Tahoma"/>
            <family val="2"/>
          </rPr>
          <t xml:space="preserve">
מסיעי שדרות- שת"פ הסעות לסליחות- 2000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53F53F2C-08F3-4A9A-83FE-71D973901849}">
      <text>
        <r>
          <rPr>
            <sz val="11"/>
            <color rgb="FF000000"/>
            <rFont val="Arial"/>
            <family val="2"/>
          </rPr>
          <t>Fireball:
צפוי עוד X אש"ח ₪ שנשמרים לחירום
5408*130 + 505*100
ירידה של 7% בחברי האגודה תשע"ח</t>
        </r>
      </text>
    </comment>
  </commentList>
</comments>
</file>

<file path=xl/sharedStrings.xml><?xml version="1.0" encoding="utf-8"?>
<sst xmlns="http://schemas.openxmlformats.org/spreadsheetml/2006/main" count="190" uniqueCount="153">
  <si>
    <t>צפי</t>
  </si>
  <si>
    <t>בפועל</t>
  </si>
  <si>
    <t>יתרה</t>
  </si>
  <si>
    <t>הערות</t>
  </si>
  <si>
    <t>הכנסות</t>
  </si>
  <si>
    <t>דמי חבר</t>
  </si>
  <si>
    <t>תקציב מכללה מזיכיונות</t>
  </si>
  <si>
    <t>תקציב ספורט מהמכללה</t>
  </si>
  <si>
    <t xml:space="preserve">העברות מהחכ"ל </t>
  </si>
  <si>
    <t>סה''כ הכנסות</t>
  </si>
  <si>
    <t>החזרת דמי חבר</t>
  </si>
  <si>
    <t>הוצאות</t>
  </si>
  <si>
    <t>תקשורת</t>
  </si>
  <si>
    <t>טלפון (פלאפון-תקשורת)</t>
  </si>
  <si>
    <t>נייד/אגרות(הנייד כלול בסעיף טלפון)</t>
  </si>
  <si>
    <t>טלפוניה כרטסת</t>
  </si>
  <si>
    <t>שרותי מחשב- מק"ש</t>
  </si>
  <si>
    <t>כולל קניית ציוד</t>
  </si>
  <si>
    <t>ציוד מחסן- תקציב מדור תפעול</t>
  </si>
  <si>
    <t>שיפוץ משרדים,ציוד,מחסן,ציוד לוגיסטי</t>
  </si>
  <si>
    <t>סה"כ</t>
  </si>
  <si>
    <t>יועצים</t>
  </si>
  <si>
    <t>רואה חשבון</t>
  </si>
  <si>
    <t>ייעוץ משפטי לסטודנטים</t>
  </si>
  <si>
    <t>מבקר</t>
  </si>
  <si>
    <t>דוחות כספיים</t>
  </si>
  <si>
    <t>דמי ניהול בנק ועמלות נוספות</t>
  </si>
  <si>
    <t>החזרי הוצאות</t>
  </si>
  <si>
    <t>הוצאות שכר ומשכורות</t>
  </si>
  <si>
    <t>פעילויות חוץ</t>
  </si>
  <si>
    <t>יום הסטודנט</t>
  </si>
  <si>
    <t xml:space="preserve">משלחות </t>
  </si>
  <si>
    <t>סמינר /הכשרות לעובדים</t>
  </si>
  <si>
    <t>הוצאות נוספות</t>
  </si>
  <si>
    <t>מתנות פתיחת שנה</t>
  </si>
  <si>
    <t>דמי חבר התאחדות הסטודנטים</t>
  </si>
  <si>
    <t xml:space="preserve">כיבוד לישיבות </t>
  </si>
  <si>
    <t>רווחת העובד (מתנות לחגים, פעילויות גיבוש)</t>
  </si>
  <si>
    <t xml:space="preserve">קופי מדיה </t>
  </si>
  <si>
    <t xml:space="preserve">חלק מההסכם </t>
  </si>
  <si>
    <t>השלמת כרטיסי סטודנט</t>
  </si>
  <si>
    <t>בחירות</t>
  </si>
  <si>
    <t>כולל עובד, שמשוניות , חב' דיגיטאלית</t>
  </si>
  <si>
    <t xml:space="preserve">שותפויות </t>
  </si>
  <si>
    <t>סבסוד מנויים לסינמטק שדרות</t>
  </si>
  <si>
    <t>קולנוע דרום</t>
  </si>
  <si>
    <t xml:space="preserve"> בפסטיבל מדרום</t>
  </si>
  <si>
    <t>הוצאות לפי מדורים:</t>
  </si>
  <si>
    <t>קמפיין</t>
  </si>
  <si>
    <t>UPRESS אתר בענן</t>
  </si>
  <si>
    <t>אתר ואפליקציה</t>
  </si>
  <si>
    <t>פייסבוק</t>
  </si>
  <si>
    <t>פרסום ממומן</t>
  </si>
  <si>
    <t>פרזנטור</t>
  </si>
  <si>
    <t>ניוזלטר</t>
  </si>
  <si>
    <t xml:space="preserve">עריכת וידאו </t>
  </si>
  <si>
    <t>חולצות</t>
  </si>
  <si>
    <t>תיעוד אירועים</t>
  </si>
  <si>
    <t>דפוס</t>
  </si>
  <si>
    <t>שמשוניות אגודה</t>
  </si>
  <si>
    <t>רולאפים</t>
  </si>
  <si>
    <t>סטיקרים</t>
  </si>
  <si>
    <t>גרפיקה</t>
  </si>
  <si>
    <t>אקדמיה</t>
  </si>
  <si>
    <t>אירוע ומתנות מילואים</t>
  </si>
  <si>
    <t>נציגי מחלקות</t>
  </si>
  <si>
    <t xml:space="preserve">מלגת מילואים </t>
  </si>
  <si>
    <t>צופרים לבחינות</t>
  </si>
  <si>
    <t>יזמות חברתית</t>
  </si>
  <si>
    <t>פעילות תאים</t>
  </si>
  <si>
    <t>פרווומן</t>
  </si>
  <si>
    <t>פוליטיקאיות</t>
  </si>
  <si>
    <t>פורום פמיניסטי</t>
  </si>
  <si>
    <t>גיבוש רכזי תאים</t>
  </si>
  <si>
    <t>כיבוד מדורי</t>
  </si>
  <si>
    <t>חג הסיגד</t>
  </si>
  <si>
    <t>שבוע שבא בטוב</t>
  </si>
  <si>
    <t>חנוכה</t>
  </si>
  <si>
    <t>סופגניות</t>
  </si>
  <si>
    <t>תקציב מדורי</t>
  </si>
  <si>
    <t>הרצאות, שיפוץ מקלטים, פנל פוליטי</t>
  </si>
  <si>
    <t>ספורט</t>
  </si>
  <si>
    <t>תפעול ולוגיסטיקה</t>
  </si>
  <si>
    <t>שירותי הסעות/החזרי נסיעות</t>
  </si>
  <si>
    <t>השכרת אולם ספורט/סטודיו בשער הנגב</t>
  </si>
  <si>
    <t>בידור למשחקים</t>
  </si>
  <si>
    <t>חובשים</t>
  </si>
  <si>
    <t>להוסיף תקצוב לבדיקות רפואיות</t>
  </si>
  <si>
    <t>ציוד ותלבושות</t>
  </si>
  <si>
    <t>אס"א אילת</t>
  </si>
  <si>
    <t>מיסי אס"א</t>
  </si>
  <si>
    <t>מיתוג מדור לאס"א אילת</t>
  </si>
  <si>
    <t>טורניר כתום בדרום</t>
  </si>
  <si>
    <t>מאמן פריזבי</t>
  </si>
  <si>
    <t>נבחרת פוטסל</t>
  </si>
  <si>
    <t>שכר מאמן פוטסל</t>
  </si>
  <si>
    <t>נבחרת ריצה</t>
  </si>
  <si>
    <t>שכר מאמן נבחרת ריצה</t>
  </si>
  <si>
    <t>נבחרת כדורסל</t>
  </si>
  <si>
    <t>שכר מאמן כדורסל</t>
  </si>
  <si>
    <t>קבוצת כדורעף שת"פ עם שער הנגב</t>
  </si>
  <si>
    <t>הפסקות פעילות ספורט</t>
  </si>
  <si>
    <t>סדנאות והרצאות</t>
  </si>
  <si>
    <t>שבוע בריאות</t>
  </si>
  <si>
    <t>ערב גיבוש</t>
  </si>
  <si>
    <t>תרבות</t>
  </si>
  <si>
    <t>קרחנה סמסטר ב'</t>
  </si>
  <si>
    <t>הפסקות פעילות + לייב בקמפוס</t>
  </si>
  <si>
    <t>פורים</t>
  </si>
  <si>
    <t>רווחה</t>
  </si>
  <si>
    <t>פעילות מדור רווחה</t>
  </si>
  <si>
    <t>פעילות חברה ערבית</t>
  </si>
  <si>
    <t>סה"כ יתרה לבלתי צפוי</t>
  </si>
  <si>
    <t>סה"כ הוצאות</t>
  </si>
  <si>
    <t>תקציב תשפ"א</t>
  </si>
  <si>
    <t>1/10/2020-30/09/2021</t>
  </si>
  <si>
    <t>השתתפות דיקן תשפ"א</t>
  </si>
  <si>
    <t>קרחנה פתיחת שנה, חג הסיגד, שבוע מעשים טובים, הפסקות פעילות, שבוע גאווה, שבוע מילואים</t>
  </si>
  <si>
    <t>צריך לבקש מכללה(יום פתוח)- 15,000</t>
  </si>
  <si>
    <t>תקציב תשפ</t>
  </si>
  <si>
    <t>בנבחרת קרב מגע</t>
  </si>
  <si>
    <t xml:space="preserve">ארועי פתיחת שנה - </t>
  </si>
  <si>
    <t>65 בחודש</t>
  </si>
  <si>
    <t>דוברות שיווק והסברה</t>
  </si>
  <si>
    <t>אוקטובר</t>
  </si>
  <si>
    <t>נובמבר</t>
  </si>
  <si>
    <t xml:space="preserve">דצמבר </t>
  </si>
  <si>
    <t>ינואר</t>
  </si>
  <si>
    <t>פברואר</t>
  </si>
  <si>
    <t>מרץ</t>
  </si>
  <si>
    <t>אפריל</t>
  </si>
  <si>
    <t>מאי</t>
  </si>
  <si>
    <t>יוני</t>
  </si>
  <si>
    <t>יולי</t>
  </si>
  <si>
    <t>הועבר לקרן סיוע קורונה 21000</t>
  </si>
  <si>
    <t>הועבר לקרן סיוע קורונה- 9000</t>
  </si>
  <si>
    <t>הועבר לקרן סיוע קורונה- 3000</t>
  </si>
  <si>
    <t>הועבר לקרן סיוע קורונה- 1000</t>
  </si>
  <si>
    <t>הועבר לקרן סיוע קורונה- 15000</t>
  </si>
  <si>
    <t>הועבר לקרן סיוע קורונה- 2000</t>
  </si>
  <si>
    <t>הועבר לקרן סיוע קורונה- 25000</t>
  </si>
  <si>
    <t xml:space="preserve">הועבר לקרן סיוע קורונה-4000 </t>
  </si>
  <si>
    <t xml:space="preserve">שולמו מראש מיסים שנה תשע"ט </t>
  </si>
  <si>
    <t>סעיפים</t>
  </si>
  <si>
    <t xml:space="preserve">תקציב תשפ"א </t>
  </si>
  <si>
    <t xml:space="preserve">  </t>
  </si>
  <si>
    <t>אוגוסט</t>
  </si>
  <si>
    <t>ספטמבר</t>
  </si>
  <si>
    <t>התקבל</t>
  </si>
  <si>
    <t>סה"כ צפי / הוצאות</t>
  </si>
  <si>
    <r>
      <t>י</t>
    </r>
    <r>
      <rPr>
        <sz val="10"/>
        <color rgb="FFFF0000"/>
        <rFont val="Arial"/>
        <family val="2"/>
      </rPr>
      <t xml:space="preserve">ריד תעסוקה - </t>
    </r>
    <r>
      <rPr>
        <b/>
        <sz val="10"/>
        <color rgb="FFFF0000"/>
        <rFont val="Arial"/>
        <family val="2"/>
      </rPr>
      <t>הועברו לקרן סיוע 5000</t>
    </r>
  </si>
  <si>
    <r>
      <t>סנדאות, סיורים-</t>
    </r>
    <r>
      <rPr>
        <b/>
        <sz val="10"/>
        <color rgb="FFFF0000"/>
        <rFont val="Arial"/>
        <family val="2"/>
      </rPr>
      <t xml:space="preserve"> הועברו לקרן סיוע 5000</t>
    </r>
  </si>
  <si>
    <t>דמי חבר תשפא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</si>
</sst>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2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25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  <charset val="177"/>
    </font>
    <font>
      <sz val="10"/>
      <color rgb="FFFF0000"/>
      <name val="Arial"/>
      <family val="2"/>
    </font>
    <font>
      <sz val="10"/>
      <color rgb="FF548DD4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92D050"/>
      </patternFill>
    </fill>
    <fill>
      <patternFill patternType="solid">
        <fgColor rgb="FFC00000"/>
        <bgColor rgb="FFC00000"/>
      </patternFill>
    </fill>
    <fill>
      <patternFill patternType="solid">
        <fgColor rgb="FFBDD7EE"/>
        <bgColor rgb="FFFF99FF"/>
      </patternFill>
    </fill>
    <fill>
      <patternFill patternType="solid">
        <fgColor rgb="FFFFFF00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99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C0000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164" fontId="3" fillId="0" borderId="0" xfId="0" applyNumberFormat="1" applyFont="1"/>
    <xf numFmtId="164" fontId="4" fillId="0" borderId="9" xfId="0" applyNumberFormat="1" applyFont="1" applyBorder="1"/>
    <xf numFmtId="164" fontId="4" fillId="0" borderId="10" xfId="0" applyNumberFormat="1" applyFont="1" applyBorder="1" applyAlignment="1">
      <alignment horizontal="right" wrapText="1"/>
    </xf>
    <xf numFmtId="164" fontId="5" fillId="3" borderId="0" xfId="0" applyNumberFormat="1" applyFont="1" applyFill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 wrapText="1"/>
    </xf>
    <xf numFmtId="164" fontId="3" fillId="4" borderId="10" xfId="0" applyNumberFormat="1" applyFont="1" applyFill="1" applyBorder="1"/>
    <xf numFmtId="164" fontId="6" fillId="4" borderId="13" xfId="0" applyNumberFormat="1" applyFont="1" applyFill="1" applyBorder="1"/>
    <xf numFmtId="164" fontId="3" fillId="4" borderId="13" xfId="0" applyNumberFormat="1" applyFont="1" applyFill="1" applyBorder="1"/>
    <xf numFmtId="164" fontId="3" fillId="4" borderId="13" xfId="0" applyNumberFormat="1" applyFont="1" applyFill="1" applyBorder="1" applyAlignment="1">
      <alignment horizontal="right" wrapText="1"/>
    </xf>
    <xf numFmtId="164" fontId="3" fillId="4" borderId="12" xfId="0" applyNumberFormat="1" applyFont="1" applyFill="1" applyBorder="1"/>
    <xf numFmtId="164" fontId="6" fillId="4" borderId="12" xfId="0" applyNumberFormat="1" applyFont="1" applyFill="1" applyBorder="1"/>
    <xf numFmtId="164" fontId="7" fillId="0" borderId="0" xfId="0" applyNumberFormat="1" applyFont="1"/>
    <xf numFmtId="164" fontId="6" fillId="5" borderId="5" xfId="0" applyNumberFormat="1" applyFont="1" applyFill="1" applyBorder="1"/>
    <xf numFmtId="164" fontId="3" fillId="5" borderId="5" xfId="0" applyNumberFormat="1" applyFont="1" applyFill="1" applyBorder="1"/>
    <xf numFmtId="164" fontId="6" fillId="5" borderId="16" xfId="0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6" fillId="6" borderId="15" xfId="0" applyNumberFormat="1" applyFont="1" applyFill="1" applyBorder="1" applyAlignment="1">
      <alignment horizontal="center"/>
    </xf>
    <xf numFmtId="164" fontId="3" fillId="7" borderId="9" xfId="0" applyNumberFormat="1" applyFont="1" applyFill="1" applyBorder="1"/>
    <xf numFmtId="164" fontId="3" fillId="7" borderId="13" xfId="0" applyNumberFormat="1" applyFont="1" applyFill="1" applyBorder="1" applyAlignment="1">
      <alignment horizontal="center"/>
    </xf>
    <xf numFmtId="164" fontId="3" fillId="7" borderId="13" xfId="0" applyNumberFormat="1" applyFont="1" applyFill="1" applyBorder="1"/>
    <xf numFmtId="164" fontId="3" fillId="7" borderId="17" xfId="0" applyNumberFormat="1" applyFont="1" applyFill="1" applyBorder="1"/>
    <xf numFmtId="164" fontId="3" fillId="7" borderId="15" xfId="0" applyNumberFormat="1" applyFont="1" applyFill="1" applyBorder="1" applyAlignment="1">
      <alignment horizontal="right" wrapText="1"/>
    </xf>
    <xf numFmtId="164" fontId="3" fillId="7" borderId="15" xfId="0" applyNumberFormat="1" applyFont="1" applyFill="1" applyBorder="1"/>
    <xf numFmtId="164" fontId="3" fillId="7" borderId="18" xfId="0" applyNumberFormat="1" applyFont="1" applyFill="1" applyBorder="1" applyAlignment="1">
      <alignment horizontal="center"/>
    </xf>
    <xf numFmtId="164" fontId="3" fillId="7" borderId="15" xfId="0" applyNumberFormat="1" applyFont="1" applyFill="1" applyBorder="1" applyAlignment="1">
      <alignment horizontal="center"/>
    </xf>
    <xf numFmtId="164" fontId="3" fillId="7" borderId="10" xfId="0" applyNumberFormat="1" applyFont="1" applyFill="1" applyBorder="1"/>
    <xf numFmtId="164" fontId="3" fillId="7" borderId="10" xfId="0" applyNumberFormat="1" applyFont="1" applyFill="1" applyBorder="1" applyAlignment="1">
      <alignment horizontal="center"/>
    </xf>
    <xf numFmtId="164" fontId="3" fillId="6" borderId="15" xfId="0" applyNumberFormat="1" applyFont="1" applyFill="1" applyBorder="1" applyAlignment="1">
      <alignment horizontal="left"/>
    </xf>
    <xf numFmtId="164" fontId="6" fillId="6" borderId="15" xfId="0" applyNumberFormat="1" applyFont="1" applyFill="1" applyBorder="1" applyAlignment="1">
      <alignment horizontal="right" wrapText="1"/>
    </xf>
    <xf numFmtId="164" fontId="3" fillId="7" borderId="13" xfId="0" applyNumberFormat="1" applyFont="1" applyFill="1" applyBorder="1" applyAlignment="1">
      <alignment horizontal="right" wrapText="1"/>
    </xf>
    <xf numFmtId="164" fontId="3" fillId="6" borderId="15" xfId="0" applyNumberFormat="1" applyFont="1" applyFill="1" applyBorder="1"/>
    <xf numFmtId="164" fontId="3" fillId="6" borderId="17" xfId="0" applyNumberFormat="1" applyFont="1" applyFill="1" applyBorder="1"/>
    <xf numFmtId="164" fontId="3" fillId="7" borderId="12" xfId="0" applyNumberFormat="1" applyFont="1" applyFill="1" applyBorder="1"/>
    <xf numFmtId="164" fontId="3" fillId="7" borderId="12" xfId="0" applyNumberFormat="1" applyFont="1" applyFill="1" applyBorder="1" applyAlignment="1">
      <alignment horizontal="right" wrapText="1"/>
    </xf>
    <xf numFmtId="164" fontId="6" fillId="0" borderId="0" xfId="0" applyNumberFormat="1" applyFont="1"/>
    <xf numFmtId="164" fontId="6" fillId="7" borderId="13" xfId="0" applyNumberFormat="1" applyFont="1" applyFill="1" applyBorder="1"/>
    <xf numFmtId="164" fontId="6" fillId="7" borderId="12" xfId="0" applyNumberFormat="1" applyFont="1" applyFill="1" applyBorder="1"/>
    <xf numFmtId="164" fontId="6" fillId="0" borderId="0" xfId="0" applyNumberFormat="1" applyFont="1" applyAlignment="1">
      <alignment horizontal="center"/>
    </xf>
    <xf numFmtId="164" fontId="3" fillId="0" borderId="15" xfId="0" applyNumberFormat="1" applyFont="1" applyBorder="1"/>
    <xf numFmtId="164" fontId="8" fillId="0" borderId="0" xfId="0" applyNumberFormat="1" applyFont="1"/>
    <xf numFmtId="0" fontId="8" fillId="0" borderId="0" xfId="0" applyFont="1"/>
    <xf numFmtId="164" fontId="6" fillId="6" borderId="0" xfId="0" applyNumberFormat="1" applyFont="1" applyFill="1" applyAlignment="1">
      <alignment horizontal="center"/>
    </xf>
    <xf numFmtId="164" fontId="3" fillId="7" borderId="13" xfId="0" applyNumberFormat="1" applyFont="1" applyFill="1" applyBorder="1" applyAlignment="1">
      <alignment horizontal="right"/>
    </xf>
    <xf numFmtId="164" fontId="3" fillId="7" borderId="18" xfId="0" applyNumberFormat="1" applyFont="1" applyFill="1" applyBorder="1" applyAlignment="1">
      <alignment horizontal="right" wrapText="1"/>
    </xf>
    <xf numFmtId="164" fontId="7" fillId="7" borderId="17" xfId="0" applyNumberFormat="1" applyFont="1" applyFill="1" applyBorder="1"/>
    <xf numFmtId="164" fontId="3" fillId="7" borderId="19" xfId="0" applyNumberFormat="1" applyFont="1" applyFill="1" applyBorder="1"/>
    <xf numFmtId="164" fontId="3" fillId="6" borderId="5" xfId="0" applyNumberFormat="1" applyFont="1" applyFill="1" applyBorder="1"/>
    <xf numFmtId="164" fontId="3" fillId="6" borderId="10" xfId="0" applyNumberFormat="1" applyFont="1" applyFill="1" applyBorder="1"/>
    <xf numFmtId="164" fontId="6" fillId="6" borderId="10" xfId="0" applyNumberFormat="1" applyFont="1" applyFill="1" applyBorder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0" fontId="3" fillId="7" borderId="13" xfId="0" applyFont="1" applyFill="1" applyBorder="1"/>
    <xf numFmtId="3" fontId="3" fillId="7" borderId="13" xfId="0" applyNumberFormat="1" applyFont="1" applyFill="1" applyBorder="1"/>
    <xf numFmtId="0" fontId="3" fillId="7" borderId="12" xfId="0" applyFont="1" applyFill="1" applyBorder="1"/>
    <xf numFmtId="164" fontId="3" fillId="7" borderId="12" xfId="1" applyNumberFormat="1" applyFont="1" applyFill="1" applyBorder="1" applyAlignment="1"/>
    <xf numFmtId="0" fontId="3" fillId="7" borderId="15" xfId="0" applyFont="1" applyFill="1" applyBorder="1"/>
    <xf numFmtId="164" fontId="3" fillId="7" borderId="15" xfId="1" applyNumberFormat="1" applyFont="1" applyFill="1" applyBorder="1" applyAlignment="1"/>
    <xf numFmtId="164" fontId="5" fillId="3" borderId="15" xfId="0" applyNumberFormat="1" applyFont="1" applyFill="1" applyBorder="1"/>
    <xf numFmtId="164" fontId="3" fillId="0" borderId="15" xfId="0" applyNumberFormat="1" applyFont="1" applyBorder="1" applyAlignment="1">
      <alignment horizontal="right" wrapText="1"/>
    </xf>
    <xf numFmtId="3" fontId="3" fillId="7" borderId="13" xfId="0" applyNumberFormat="1" applyFont="1" applyFill="1" applyBorder="1" applyAlignment="1">
      <alignment horizontal="center" vertical="center"/>
    </xf>
    <xf numFmtId="164" fontId="3" fillId="7" borderId="13" xfId="1" applyNumberFormat="1" applyFont="1" applyFill="1" applyBorder="1" applyAlignment="1">
      <alignment horizontal="center" vertical="center"/>
    </xf>
    <xf numFmtId="164" fontId="3" fillId="7" borderId="16" xfId="1" applyNumberFormat="1" applyFont="1" applyFill="1" applyBorder="1" applyAlignment="1">
      <alignment horizontal="center" vertical="center"/>
    </xf>
    <xf numFmtId="0" fontId="3" fillId="7" borderId="10" xfId="0" applyFont="1" applyFill="1" applyBorder="1"/>
    <xf numFmtId="164" fontId="3" fillId="7" borderId="10" xfId="0" applyNumberFormat="1" applyFont="1" applyFill="1" applyBorder="1" applyAlignment="1">
      <alignment horizontal="right"/>
    </xf>
    <xf numFmtId="164" fontId="6" fillId="7" borderId="13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/>
    <xf numFmtId="164" fontId="9" fillId="6" borderId="0" xfId="0" applyNumberFormat="1" applyFont="1" applyFill="1" applyAlignment="1">
      <alignment horizontal="right" wrapText="1"/>
    </xf>
    <xf numFmtId="164" fontId="7" fillId="7" borderId="15" xfId="0" applyNumberFormat="1" applyFont="1" applyFill="1" applyBorder="1"/>
    <xf numFmtId="164" fontId="10" fillId="7" borderId="15" xfId="0" applyNumberFormat="1" applyFont="1" applyFill="1" applyBorder="1" applyAlignment="1">
      <alignment horizontal="right" wrapText="1"/>
    </xf>
    <xf numFmtId="164" fontId="9" fillId="7" borderId="13" xfId="0" applyNumberFormat="1" applyFont="1" applyFill="1" applyBorder="1" applyAlignment="1">
      <alignment horizontal="right" wrapText="1"/>
    </xf>
    <xf numFmtId="164" fontId="7" fillId="7" borderId="13" xfId="0" applyNumberFormat="1" applyFont="1" applyFill="1" applyBorder="1"/>
    <xf numFmtId="164" fontId="11" fillId="7" borderId="13" xfId="0" applyNumberFormat="1" applyFont="1" applyFill="1" applyBorder="1"/>
    <xf numFmtId="164" fontId="10" fillId="7" borderId="13" xfId="0" applyNumberFormat="1" applyFont="1" applyFill="1" applyBorder="1" applyAlignment="1">
      <alignment horizontal="right" wrapText="1"/>
    </xf>
    <xf numFmtId="164" fontId="6" fillId="7" borderId="13" xfId="0" applyNumberFormat="1" applyFont="1" applyFill="1" applyBorder="1" applyAlignment="1">
      <alignment horizontal="right" wrapText="1"/>
    </xf>
    <xf numFmtId="164" fontId="3" fillId="7" borderId="1" xfId="0" applyNumberFormat="1" applyFont="1" applyFill="1" applyBorder="1"/>
    <xf numFmtId="164" fontId="3" fillId="7" borderId="11" xfId="0" applyNumberFormat="1" applyFont="1" applyFill="1" applyBorder="1"/>
    <xf numFmtId="164" fontId="6" fillId="6" borderId="13" xfId="0" applyNumberFormat="1" applyFont="1" applyFill="1" applyBorder="1" applyAlignment="1">
      <alignment horizontal="right" wrapText="1"/>
    </xf>
    <xf numFmtId="0" fontId="6" fillId="7" borderId="13" xfId="0" applyFont="1" applyFill="1" applyBorder="1" applyAlignment="1">
      <alignment horizontal="right"/>
    </xf>
    <xf numFmtId="3" fontId="6" fillId="7" borderId="13" xfId="0" applyNumberFormat="1" applyFont="1" applyFill="1" applyBorder="1"/>
    <xf numFmtId="164" fontId="3" fillId="0" borderId="17" xfId="0" applyNumberFormat="1" applyFont="1" applyBorder="1"/>
    <xf numFmtId="164" fontId="3" fillId="8" borderId="17" xfId="0" applyNumberFormat="1" applyFont="1" applyFill="1" applyBorder="1"/>
    <xf numFmtId="164" fontId="3" fillId="8" borderId="15" xfId="0" applyNumberFormat="1" applyFont="1" applyFill="1" applyBorder="1"/>
    <xf numFmtId="164" fontId="6" fillId="9" borderId="15" xfId="0" applyNumberFormat="1" applyFont="1" applyFill="1" applyBorder="1"/>
    <xf numFmtId="164" fontId="3" fillId="9" borderId="15" xfId="0" applyNumberFormat="1" applyFont="1" applyFill="1" applyBorder="1"/>
    <xf numFmtId="164" fontId="6" fillId="9" borderId="15" xfId="0" applyNumberFormat="1" applyFont="1" applyFill="1" applyBorder="1" applyAlignment="1">
      <alignment horizontal="right" wrapText="1"/>
    </xf>
    <xf numFmtId="164" fontId="7" fillId="0" borderId="15" xfId="0" applyNumberFormat="1" applyFont="1" applyBorder="1"/>
    <xf numFmtId="164" fontId="3" fillId="10" borderId="15" xfId="0" applyNumberFormat="1" applyFont="1" applyFill="1" applyBorder="1"/>
    <xf numFmtId="164" fontId="3" fillId="10" borderId="15" xfId="0" applyNumberFormat="1" applyFont="1" applyFill="1" applyBorder="1" applyAlignment="1">
      <alignment horizontal="right" wrapText="1"/>
    </xf>
    <xf numFmtId="14" fontId="0" fillId="0" borderId="0" xfId="0" applyNumberFormat="1"/>
    <xf numFmtId="164" fontId="3" fillId="7" borderId="0" xfId="0" applyNumberFormat="1" applyFont="1" applyFill="1" applyBorder="1"/>
    <xf numFmtId="164" fontId="17" fillId="7" borderId="12" xfId="0" applyNumberFormat="1" applyFont="1" applyFill="1" applyBorder="1" applyAlignment="1">
      <alignment horizontal="right" wrapText="1"/>
    </xf>
    <xf numFmtId="0" fontId="0" fillId="11" borderId="0" xfId="0" applyFill="1"/>
    <xf numFmtId="164" fontId="6" fillId="12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3" fillId="8" borderId="13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165" fontId="0" fillId="0" borderId="5" xfId="0" applyNumberFormat="1" applyBorder="1" applyAlignment="1"/>
    <xf numFmtId="165" fontId="0" fillId="0" borderId="15" xfId="0" applyNumberFormat="1" applyBorder="1" applyAlignment="1"/>
    <xf numFmtId="165" fontId="3" fillId="0" borderId="15" xfId="0" applyNumberFormat="1" applyFont="1" applyFill="1" applyBorder="1" applyAlignment="1"/>
    <xf numFmtId="164" fontId="3" fillId="4" borderId="23" xfId="0" applyNumberFormat="1" applyFont="1" applyFill="1" applyBorder="1"/>
    <xf numFmtId="164" fontId="3" fillId="4" borderId="17" xfId="0" applyNumberFormat="1" applyFont="1" applyFill="1" applyBorder="1"/>
    <xf numFmtId="164" fontId="3" fillId="4" borderId="24" xfId="0" applyNumberFormat="1" applyFont="1" applyFill="1" applyBorder="1"/>
    <xf numFmtId="164" fontId="4" fillId="0" borderId="15" xfId="0" applyNumberFormat="1" applyFont="1" applyBorder="1"/>
    <xf numFmtId="0" fontId="0" fillId="0" borderId="15" xfId="0" applyBorder="1"/>
    <xf numFmtId="164" fontId="6" fillId="4" borderId="15" xfId="0" applyNumberFormat="1" applyFont="1" applyFill="1" applyBorder="1"/>
    <xf numFmtId="164" fontId="3" fillId="4" borderId="15" xfId="0" applyNumberFormat="1" applyFont="1" applyFill="1" applyBorder="1"/>
    <xf numFmtId="164" fontId="4" fillId="0" borderId="5" xfId="0" applyNumberFormat="1" applyFont="1" applyBorder="1"/>
    <xf numFmtId="0" fontId="18" fillId="0" borderId="5" xfId="0" applyFont="1" applyBorder="1"/>
    <xf numFmtId="164" fontId="6" fillId="4" borderId="1" xfId="0" applyNumberFormat="1" applyFont="1" applyFill="1" applyBorder="1"/>
    <xf numFmtId="164" fontId="6" fillId="5" borderId="25" xfId="0" applyNumberFormat="1" applyFont="1" applyFill="1" applyBorder="1"/>
    <xf numFmtId="0" fontId="0" fillId="13" borderId="26" xfId="0" applyFill="1" applyBorder="1"/>
    <xf numFmtId="164" fontId="6" fillId="12" borderId="25" xfId="0" applyNumberFormat="1" applyFont="1" applyFill="1" applyBorder="1" applyAlignment="1">
      <alignment horizontal="center"/>
    </xf>
    <xf numFmtId="165" fontId="0" fillId="0" borderId="26" xfId="0" applyNumberFormat="1" applyBorder="1" applyAlignment="1"/>
    <xf numFmtId="0" fontId="18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יהודית רוטמן חנה" id="{AAF5FC3E-AB0D-4448-BBD5-406ECB3EC48E}" userId="69235db53b265853" providerId="Windows Live"/>
</personList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9" dT="2020-11-26T14:08:38.28" personId="{AAF5FC3E-AB0D-4448-BBD5-406ECB3EC48E}" id="{10A33ECB-EDD6-4021-A864-41FCF1E9B4D7}">
    <text>ח.כהן 29.8
קניונית בכפר- 45.8
ביג סטוק- 135.9
מקס סטוק - 60
דפוס סתיו - חותמת -90</text>
  </threadedComment>
  <threadedComment ref="G19" dT="2020-11-26T14:10:59.10" personId="{AAF5FC3E-AB0D-4448-BBD5-406ECB3EC48E}" id="{8FA8A685-8C93-428A-AE52-97DD8D7D505A}">
    <text>לישע ביג - 275
באכביסה - 150 (ניקוי יבש ציפי)</text>
  </threadedComment>
  <threadedComment ref="G19" dT="2020-11-26T14:34:00.57" personId="{AAF5FC3E-AB0D-4448-BBD5-406ECB3EC48E}" id="{03DD19A6-3642-458C-A7ED-16DA610C1983}" parentId="{8FA8A685-8C93-428A-AE52-97DD8D7D505A}">
    <text>יבוא ושיווק- 5175</text>
  </threadedComment>
  <threadedComment ref="G19" dT="2020-11-29T11:27:15.13" personId="{AAF5FC3E-AB0D-4448-BBD5-406ECB3EC48E}" id="{22A89DE6-0D58-4BC1-AB58-A3A274DE5D6F}" parentId="{8FA8A685-8C93-428A-AE52-97DD8D7D505A}">
    <text>לישע ביג -10 (שיכפול מפתח)</text>
  </threadedComment>
  <threadedComment ref="F37" dT="2020-11-26T14:06:16.38" personId="{AAF5FC3E-AB0D-4448-BBD5-406ECB3EC48E}" id="{50BD0FB1-73CF-4295-AF7F-9268C8EFD697}">
    <text>סושימוטו -138
270.97 - ח.כהן
פסטה וזהו - 417
אמילי שדרות - 190 (ציוד חכ"ל)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12D94-2582-4FB2-966D-FDF782EA337F}">
  <dimension ref="A1:Q133"/>
  <sheetViews>
    <sheetView rightToLeft="1" tabSelected="1" topLeftCell="A106" zoomScale="70" zoomScaleNormal="70" workbookViewId="0">
      <pane xSplit="16" topLeftCell="Q1" activePane="topRight" state="frozen"/>
      <selection activeCell="A13" sqref="A13"/>
      <selection pane="topRight" activeCell="F3" sqref="A3:F133"/>
    </sheetView>
  </sheetViews>
  <sheetFormatPr defaultRowHeight="14" x14ac:dyDescent="0.3"/>
  <cols>
    <col min="1" max="1" width="32" bestFit="1" customWidth="1"/>
    <col min="2" max="4" width="9.1640625" bestFit="1" customWidth="1"/>
    <col min="5" max="5" width="24.6640625" customWidth="1"/>
    <col min="16" max="16" width="7.4140625" customWidth="1"/>
  </cols>
  <sheetData>
    <row r="1" spans="1:17" ht="14" hidden="1" customHeight="1" x14ac:dyDescent="0.3">
      <c r="A1" s="122" t="s">
        <v>114</v>
      </c>
      <c r="B1" s="124" t="s">
        <v>115</v>
      </c>
      <c r="C1" s="125"/>
      <c r="D1" s="125"/>
      <c r="E1" s="126"/>
    </row>
    <row r="2" spans="1:17" ht="14" hidden="1" customHeight="1" x14ac:dyDescent="0.3">
      <c r="A2" s="123"/>
      <c r="B2" s="127"/>
      <c r="C2" s="128"/>
      <c r="D2" s="128"/>
      <c r="E2" s="129"/>
    </row>
    <row r="3" spans="1:17" x14ac:dyDescent="0.3">
      <c r="A3" s="1"/>
      <c r="B3" s="2" t="s">
        <v>0</v>
      </c>
      <c r="C3" s="2" t="s">
        <v>1</v>
      </c>
      <c r="D3" s="2" t="s">
        <v>2</v>
      </c>
      <c r="E3" s="3" t="s">
        <v>3</v>
      </c>
    </row>
    <row r="4" spans="1:17" x14ac:dyDescent="0.3">
      <c r="A4" s="4" t="s">
        <v>4</v>
      </c>
      <c r="B4" s="5"/>
      <c r="C4" s="6"/>
      <c r="D4" s="6"/>
      <c r="E4" s="7"/>
      <c r="F4" s="121" t="s">
        <v>152</v>
      </c>
      <c r="H4" s="101"/>
    </row>
    <row r="5" spans="1:17" x14ac:dyDescent="0.3">
      <c r="A5" s="8" t="s">
        <v>5</v>
      </c>
      <c r="B5" s="9">
        <f>(4484*235+351*100+862*130)/(1.1)</f>
        <v>1091727.2727272727</v>
      </c>
      <c r="C5" s="10">
        <f>300000+400000+300000+250000</f>
        <v>1250000</v>
      </c>
      <c r="D5" s="10">
        <f>B5-C5</f>
        <v>-158272.72727272729</v>
      </c>
      <c r="E5" s="11">
        <f>235*4484+351*100+862*130</f>
        <v>1200900</v>
      </c>
      <c r="F5">
        <f>4319*235+100*305+130*798</f>
        <v>1149205</v>
      </c>
    </row>
    <row r="6" spans="1:17" x14ac:dyDescent="0.3">
      <c r="A6" s="10" t="s">
        <v>6</v>
      </c>
      <c r="B6" s="10">
        <v>60000</v>
      </c>
      <c r="C6" s="10"/>
      <c r="D6" s="10"/>
      <c r="E6" s="11"/>
    </row>
    <row r="7" spans="1:17" x14ac:dyDescent="0.3">
      <c r="A7" s="10" t="s">
        <v>7</v>
      </c>
      <c r="B7" s="9">
        <v>150000</v>
      </c>
      <c r="C7" s="10">
        <v>150000</v>
      </c>
      <c r="D7" s="10"/>
      <c r="E7" s="11"/>
    </row>
    <row r="8" spans="1:17" x14ac:dyDescent="0.3">
      <c r="A8" s="10" t="s">
        <v>8</v>
      </c>
      <c r="B8" s="10"/>
      <c r="C8" s="10"/>
      <c r="D8" s="10"/>
      <c r="E8" s="11"/>
    </row>
    <row r="9" spans="1:17" x14ac:dyDescent="0.3">
      <c r="A9" s="12" t="s">
        <v>119</v>
      </c>
      <c r="B9" s="12">
        <v>100000</v>
      </c>
      <c r="C9" s="10">
        <v>100000</v>
      </c>
      <c r="D9" s="10"/>
      <c r="E9" s="130" t="s">
        <v>117</v>
      </c>
    </row>
    <row r="10" spans="1:17" x14ac:dyDescent="0.3">
      <c r="A10" s="12" t="s">
        <v>116</v>
      </c>
      <c r="B10" s="13">
        <f>40000</f>
        <v>40000</v>
      </c>
      <c r="C10" s="10"/>
      <c r="D10" s="12"/>
      <c r="E10" s="131"/>
    </row>
    <row r="11" spans="1:17" x14ac:dyDescent="0.3">
      <c r="A11" s="14" t="s">
        <v>9</v>
      </c>
      <c r="B11" s="15">
        <f>SUM(B5:B10)</f>
        <v>1441727.2727272727</v>
      </c>
      <c r="C11" s="16">
        <f>SUM(C5:C10)</f>
        <v>1500000</v>
      </c>
      <c r="D11" s="16">
        <f>B11-C11</f>
        <v>-58272.727272727294</v>
      </c>
      <c r="E11" s="17"/>
      <c r="J11" s="90"/>
    </row>
    <row r="12" spans="1:17" x14ac:dyDescent="0.3">
      <c r="A12" s="14" t="s">
        <v>10</v>
      </c>
      <c r="B12" s="14"/>
      <c r="C12" s="14"/>
      <c r="D12" s="14"/>
      <c r="E12" s="14"/>
      <c r="J12" s="90"/>
    </row>
    <row r="13" spans="1:17" x14ac:dyDescent="0.3">
      <c r="A13" s="1"/>
      <c r="B13" s="1"/>
      <c r="C13" s="1"/>
      <c r="D13" s="1"/>
      <c r="E13" s="18"/>
      <c r="F13" t="s">
        <v>124</v>
      </c>
      <c r="G13" t="s">
        <v>125</v>
      </c>
      <c r="H13" t="s">
        <v>126</v>
      </c>
      <c r="I13" t="s">
        <v>127</v>
      </c>
      <c r="J13" s="90" t="s">
        <v>128</v>
      </c>
      <c r="K13" t="s">
        <v>129</v>
      </c>
      <c r="L13" t="s">
        <v>130</v>
      </c>
      <c r="M13" t="s">
        <v>131</v>
      </c>
      <c r="N13" t="s">
        <v>132</v>
      </c>
      <c r="O13" t="s">
        <v>133</v>
      </c>
      <c r="P13" t="s">
        <v>146</v>
      </c>
      <c r="Q13" t="s">
        <v>147</v>
      </c>
    </row>
    <row r="14" spans="1:17" x14ac:dyDescent="0.3">
      <c r="A14" s="4" t="s">
        <v>11</v>
      </c>
      <c r="B14" s="1"/>
      <c r="C14" s="1"/>
      <c r="D14" s="1"/>
      <c r="E14" s="18"/>
    </row>
    <row r="15" spans="1:17" x14ac:dyDescent="0.3">
      <c r="A15" s="19" t="s">
        <v>12</v>
      </c>
      <c r="B15" s="1"/>
      <c r="C15" s="1"/>
      <c r="D15" s="1"/>
      <c r="E15" s="18"/>
    </row>
    <row r="16" spans="1:17" x14ac:dyDescent="0.3">
      <c r="A16" s="20" t="s">
        <v>13</v>
      </c>
      <c r="B16" s="21">
        <v>700</v>
      </c>
      <c r="C16" s="22">
        <f>F16+H16+G16+I16+J16+K16+L16+M16+N16+O16+P16+Q16</f>
        <v>727.2299999999999</v>
      </c>
      <c r="D16" s="23">
        <f>B16-C16</f>
        <v>-27.229999999999905</v>
      </c>
      <c r="E16" s="24" t="s">
        <v>122</v>
      </c>
      <c r="F16">
        <v>87.69</v>
      </c>
      <c r="G16">
        <v>76.459999999999994</v>
      </c>
      <c r="H16">
        <v>48.18</v>
      </c>
      <c r="I16">
        <v>51.01</v>
      </c>
      <c r="J16">
        <v>58.18</v>
      </c>
      <c r="K16">
        <v>58.58</v>
      </c>
      <c r="L16">
        <v>58.18</v>
      </c>
      <c r="M16">
        <v>57.79</v>
      </c>
      <c r="N16">
        <v>57.79</v>
      </c>
      <c r="O16">
        <v>57.79</v>
      </c>
      <c r="P16">
        <v>57.79</v>
      </c>
      <c r="Q16">
        <v>57.79</v>
      </c>
    </row>
    <row r="17" spans="1:17" x14ac:dyDescent="0.3">
      <c r="A17" s="25" t="s">
        <v>14</v>
      </c>
      <c r="B17" s="26">
        <v>1200</v>
      </c>
      <c r="C17" s="22">
        <f t="shared" ref="C17:C18" si="0">F17+G17+H17+I17+J17+K17+L17+M17+N17+O17+P17+Q17</f>
        <v>0</v>
      </c>
      <c r="D17" s="23">
        <f>B17-C17</f>
        <v>1200</v>
      </c>
      <c r="E17" s="24" t="s">
        <v>15</v>
      </c>
    </row>
    <row r="18" spans="1:17" x14ac:dyDescent="0.3">
      <c r="A18" s="25" t="s">
        <v>16</v>
      </c>
      <c r="B18" s="27">
        <v>6000</v>
      </c>
      <c r="C18" s="22">
        <f t="shared" si="0"/>
        <v>3123</v>
      </c>
      <c r="D18" s="23">
        <f t="shared" ref="D18:D19" si="1">B18-C18</f>
        <v>2877</v>
      </c>
      <c r="E18" s="24" t="s">
        <v>17</v>
      </c>
      <c r="O18">
        <f>241+1950</f>
        <v>2191</v>
      </c>
      <c r="Q18">
        <f>700+232</f>
        <v>932</v>
      </c>
    </row>
    <row r="19" spans="1:17" ht="25.5" x14ac:dyDescent="0.3">
      <c r="A19" s="28" t="s">
        <v>18</v>
      </c>
      <c r="B19" s="29">
        <v>20000</v>
      </c>
      <c r="C19" s="22">
        <f>F19+G19+H19+I19+J19+K19+L19+M19+N19+O19+P19+Q19</f>
        <v>67477.84</v>
      </c>
      <c r="D19" s="23">
        <f t="shared" si="1"/>
        <v>-47477.84</v>
      </c>
      <c r="E19" s="24" t="s">
        <v>19</v>
      </c>
      <c r="F19">
        <f>29.8+45.8+135.9+60+90</f>
        <v>361.5</v>
      </c>
      <c r="G19">
        <f>275+150+5175+10+87.4</f>
        <v>5697.4</v>
      </c>
      <c r="H19">
        <f>1053+158.9+7.9+91.6</f>
        <v>1311.4</v>
      </c>
      <c r="I19">
        <f>500+5291.21+450+24.9+500</f>
        <v>6766.11</v>
      </c>
      <c r="J19">
        <f>3276+2661.8+24.9+95</f>
        <v>6057.7</v>
      </c>
      <c r="L19">
        <f>45+222+737</f>
        <v>1004</v>
      </c>
      <c r="M19">
        <f>25+44</f>
        <v>69</v>
      </c>
      <c r="N19">
        <f>2539+8775+3510+2918+3947+776+23.5+39+286+15+90+15</f>
        <v>22933.5</v>
      </c>
      <c r="O19">
        <f>854+7.9+12.9</f>
        <v>874.8</v>
      </c>
      <c r="P19">
        <f>7060.07+1209.78+81+507</f>
        <v>8857.85</v>
      </c>
      <c r="Q19">
        <f>24.3+3175.09+1800+589+90+54.5+37.8+44+204.78+243.5+45+119.5+7117.11</f>
        <v>13544.58</v>
      </c>
    </row>
    <row r="20" spans="1:17" x14ac:dyDescent="0.3">
      <c r="A20" s="1" t="s">
        <v>20</v>
      </c>
      <c r="B20" s="30">
        <f>SUM(B16:B19)</f>
        <v>27900</v>
      </c>
      <c r="C20" s="30">
        <f>SUM(C16:C19)</f>
        <v>71328.069999999992</v>
      </c>
      <c r="D20" s="30">
        <f t="shared" ref="D20" si="2">SUM(D16:D19)</f>
        <v>-43428.07</v>
      </c>
      <c r="E20" s="31"/>
    </row>
    <row r="21" spans="1:17" x14ac:dyDescent="0.3">
      <c r="A21" s="1"/>
      <c r="B21" s="1"/>
      <c r="C21" s="1"/>
      <c r="D21" s="1"/>
      <c r="E21" s="18"/>
    </row>
    <row r="22" spans="1:17" x14ac:dyDescent="0.3">
      <c r="A22" s="19" t="s">
        <v>21</v>
      </c>
      <c r="B22" s="1"/>
      <c r="C22" s="1"/>
      <c r="D22" s="1"/>
      <c r="E22" s="18"/>
    </row>
    <row r="23" spans="1:17" x14ac:dyDescent="0.3">
      <c r="A23" s="28" t="s">
        <v>22</v>
      </c>
      <c r="B23" s="22">
        <v>14040</v>
      </c>
      <c r="C23" s="22">
        <f>F23+G23+H23+I23+J23+K23+L23+M23+N23+O23+P23+Q23</f>
        <v>16848</v>
      </c>
      <c r="D23" s="22">
        <f t="shared" ref="D23:D28" si="3">B23-C23</f>
        <v>-2808</v>
      </c>
      <c r="E23" s="32"/>
      <c r="F23">
        <v>1170</v>
      </c>
      <c r="G23">
        <v>1170</v>
      </c>
      <c r="H23">
        <v>1170</v>
      </c>
      <c r="I23">
        <v>1170</v>
      </c>
      <c r="J23">
        <v>1170</v>
      </c>
      <c r="K23">
        <v>1170</v>
      </c>
      <c r="L23">
        <v>1170</v>
      </c>
      <c r="M23">
        <v>1170</v>
      </c>
      <c r="N23">
        <v>1872</v>
      </c>
      <c r="O23">
        <v>1872</v>
      </c>
      <c r="P23">
        <v>1872</v>
      </c>
      <c r="Q23">
        <v>1872</v>
      </c>
    </row>
    <row r="24" spans="1:17" x14ac:dyDescent="0.3">
      <c r="A24" s="22" t="s">
        <v>23</v>
      </c>
      <c r="B24" s="22">
        <v>8000</v>
      </c>
      <c r="C24" s="22">
        <f>F24+G24+H24+I24+J24+K24+L24+M24+N24+O24+P24+Q24</f>
        <v>19380</v>
      </c>
      <c r="D24" s="22">
        <f t="shared" si="3"/>
        <v>-11380</v>
      </c>
      <c r="E24" s="32"/>
      <c r="H24">
        <v>900</v>
      </c>
      <c r="I24">
        <v>600</v>
      </c>
      <c r="K24">
        <f>2340+300</f>
        <v>2640</v>
      </c>
      <c r="L24">
        <f>2340+600</f>
        <v>2940</v>
      </c>
      <c r="M24">
        <v>2640</v>
      </c>
      <c r="N24">
        <v>2640</v>
      </c>
      <c r="O24">
        <v>2340</v>
      </c>
      <c r="P24">
        <v>2340</v>
      </c>
      <c r="Q24">
        <v>2340</v>
      </c>
    </row>
    <row r="25" spans="1:17" x14ac:dyDescent="0.3">
      <c r="A25" s="22" t="s">
        <v>24</v>
      </c>
      <c r="B25" s="22">
        <v>10000</v>
      </c>
      <c r="C25" s="22">
        <f>F25+G25+H25+I25+J25+K25+L25+M25+N25+O25+P25+Q26</f>
        <v>9828</v>
      </c>
      <c r="D25" s="22">
        <f t="shared" si="3"/>
        <v>172</v>
      </c>
      <c r="E25" s="32"/>
      <c r="G25">
        <v>2457</v>
      </c>
      <c r="I25">
        <v>2457</v>
      </c>
      <c r="M25">
        <v>2457</v>
      </c>
      <c r="P25">
        <v>2457</v>
      </c>
    </row>
    <row r="26" spans="1:17" x14ac:dyDescent="0.3">
      <c r="A26" s="22" t="s">
        <v>25</v>
      </c>
      <c r="B26" s="22">
        <v>8190</v>
      </c>
      <c r="C26" s="22">
        <f>F26+G26+H26+I26+J26+K26+L26+M26+N26+O26+P26+Q26</f>
        <v>8190</v>
      </c>
      <c r="D26" s="22">
        <f>B26-C26</f>
        <v>0</v>
      </c>
      <c r="E26" s="32"/>
      <c r="L26">
        <v>8190</v>
      </c>
    </row>
    <row r="27" spans="1:17" x14ac:dyDescent="0.3">
      <c r="A27" s="22" t="s">
        <v>26</v>
      </c>
      <c r="B27" s="22">
        <v>3810</v>
      </c>
      <c r="C27" s="22">
        <f>F27+G27+H27+I27+J27+K27+L27+M27+N27+O27+P27+Q27</f>
        <v>2777.1769999999992</v>
      </c>
      <c r="D27" s="22">
        <f t="shared" si="3"/>
        <v>1032.8230000000008</v>
      </c>
      <c r="E27" s="32"/>
      <c r="F27">
        <f>73+25.74+6.75+1.35+2.7+25.65</f>
        <v>135.19</v>
      </c>
      <c r="G27">
        <f>73+11.44+1.35+24.3+8.1+1.35+6.75+1.35+1.35</f>
        <v>128.98999999999998</v>
      </c>
      <c r="H27">
        <f>1.35+73+18.59+6.75+26.65+8.1+1.35+2.7+2.7</f>
        <v>141.18999999999997</v>
      </c>
      <c r="I27">
        <f>1.35+73+18.59+25.65+6.75+1.35+10.8+4.05</f>
        <v>141.54000000000002</v>
      </c>
      <c r="J27">
        <f>73+12.87+1.35+21.6</f>
        <v>108.82</v>
      </c>
      <c r="K27">
        <f>73+18.59+25.65+4.05+1.35+8.1+2.7+1.3+1.35+1.35+1.35+1133</f>
        <v>1271.79</v>
      </c>
      <c r="L27">
        <f>73+21.45+1.35+25.65+5.4+1.35+6.75+1.35+1.35+1.35+2.7+1.35</f>
        <v>143.04999999999995</v>
      </c>
      <c r="M27">
        <f>73+18.59+27+5.4+8.1+1.35+1.35</f>
        <v>134.79</v>
      </c>
      <c r="N27">
        <f>73+40.04+31.05+9.45+6.75+8.1+2.7+1.35</f>
        <v>172.43999999999997</v>
      </c>
      <c r="O27">
        <f>73+22.88+8.1+1.35+8.1+1.35+1.35+2.7+1.37+1.387+1.37</f>
        <v>122.95699999999998</v>
      </c>
      <c r="P27">
        <f>73+25.74+5.4+4.05+24.3+2.7+8.1+1.35+1.35</f>
        <v>145.98999999999998</v>
      </c>
      <c r="Q27">
        <f>73+2.55+15.73+24.3+8.1+5.4+1.35</f>
        <v>130.42999999999998</v>
      </c>
    </row>
    <row r="28" spans="1:17" x14ac:dyDescent="0.3">
      <c r="A28" s="1" t="s">
        <v>20</v>
      </c>
      <c r="B28" s="33">
        <f>SUM(B23:B27)</f>
        <v>44040</v>
      </c>
      <c r="C28" s="33">
        <f>SUM(C23:C27)</f>
        <v>57023.176999999996</v>
      </c>
      <c r="D28" s="34">
        <f t="shared" si="3"/>
        <v>-12983.176999999996</v>
      </c>
      <c r="E28" s="31"/>
    </row>
    <row r="29" spans="1:17" x14ac:dyDescent="0.3">
      <c r="A29" s="1"/>
      <c r="B29" s="1"/>
      <c r="C29" s="1"/>
      <c r="D29" s="1"/>
      <c r="E29" s="18"/>
    </row>
    <row r="30" spans="1:17" x14ac:dyDescent="0.3">
      <c r="A30" s="19" t="s">
        <v>27</v>
      </c>
      <c r="B30" s="1"/>
      <c r="C30" s="1"/>
      <c r="D30" s="1"/>
      <c r="E30" s="18"/>
    </row>
    <row r="31" spans="1:17" x14ac:dyDescent="0.3">
      <c r="A31" s="28" t="s">
        <v>28</v>
      </c>
      <c r="B31" s="35">
        <v>580000</v>
      </c>
      <c r="C31" s="22">
        <f>F31+G31+H31+I31+J31+K31+L31+M31+N31+O31+P31+Q31</f>
        <v>688789.76</v>
      </c>
      <c r="D31" s="22">
        <f>B31-C31</f>
        <v>-108789.76000000001</v>
      </c>
      <c r="E31" s="36"/>
      <c r="F31">
        <f>37420+4863.13+3272+5938</f>
        <v>51493.13</v>
      </c>
      <c r="G31">
        <f>329+44020+5650.7+4105</f>
        <v>54104.7</v>
      </c>
      <c r="H31">
        <f>41035+2923.19+925+500+490.25+265+425.5+4000+6989</f>
        <v>57552.94</v>
      </c>
      <c r="I31">
        <f>37168+5251.44+3762</f>
        <v>46181.440000000002</v>
      </c>
      <c r="J31">
        <f>41237+7154+4614+8916.78</f>
        <v>61921.78</v>
      </c>
      <c r="K31">
        <f>41892+7856.05+5828</f>
        <v>55576.05</v>
      </c>
      <c r="L31">
        <f>40547+7808.51+7524+4514</f>
        <v>60393.51</v>
      </c>
      <c r="M31">
        <f>46281+8558.18</f>
        <v>54839.18</v>
      </c>
      <c r="N31">
        <f>47808+5476.8+425.5+500+925+530+980.5+8723+5285</f>
        <v>70653.8</v>
      </c>
      <c r="O31">
        <f>42424+4160.25+925+500+1165.5+630+425.5+4767</f>
        <v>54997.25</v>
      </c>
      <c r="P31">
        <f>36680+7546.54+4176+7446</f>
        <v>55848.54</v>
      </c>
      <c r="Q31">
        <f>51231+4301.44+925+500+1165.5+630+425.5+6049</f>
        <v>65227.44</v>
      </c>
    </row>
    <row r="32" spans="1:17" x14ac:dyDescent="0.3">
      <c r="A32" s="1" t="s">
        <v>20</v>
      </c>
      <c r="B32" s="33">
        <f>SUM(B31)</f>
        <v>580000</v>
      </c>
      <c r="C32" s="33">
        <f>SUM(C31)</f>
        <v>688789.76</v>
      </c>
      <c r="D32" s="34">
        <f>B32-C32</f>
        <v>-108789.76000000001</v>
      </c>
      <c r="E32" s="31"/>
    </row>
    <row r="33" spans="1:17" x14ac:dyDescent="0.3">
      <c r="A33" s="1"/>
      <c r="B33" s="37"/>
      <c r="C33" s="37"/>
      <c r="D33" s="37"/>
      <c r="E33" s="18"/>
    </row>
    <row r="34" spans="1:17" x14ac:dyDescent="0.3">
      <c r="A34" s="19" t="s">
        <v>29</v>
      </c>
      <c r="B34" s="37"/>
      <c r="C34" s="37"/>
      <c r="D34" s="37"/>
      <c r="E34" s="18"/>
    </row>
    <row r="35" spans="1:17" x14ac:dyDescent="0.3">
      <c r="A35" s="28" t="s">
        <v>30</v>
      </c>
      <c r="B35" s="38">
        <v>60000</v>
      </c>
      <c r="C35" s="22">
        <f>F35+G35+H35+I35+J35+K35+L35+M35+N35+O35+P35+Q35+21000</f>
        <v>94609.37</v>
      </c>
      <c r="D35" s="22">
        <f>B35-C35</f>
        <v>-34609.369999999995</v>
      </c>
      <c r="E35" s="92" t="s">
        <v>134</v>
      </c>
      <c r="M35">
        <v>65000</v>
      </c>
      <c r="N35">
        <f>4380+99.7+337.47+14+706.9+71.3</f>
        <v>5609.37</v>
      </c>
      <c r="Q35">
        <f>3000</f>
        <v>3000</v>
      </c>
    </row>
    <row r="36" spans="1:17" x14ac:dyDescent="0.3">
      <c r="A36" s="22" t="s">
        <v>31</v>
      </c>
      <c r="B36" s="39">
        <v>4000</v>
      </c>
      <c r="C36" s="22">
        <v>4000</v>
      </c>
      <c r="D36" s="22">
        <f>B36-C36</f>
        <v>0</v>
      </c>
      <c r="E36" s="92" t="s">
        <v>141</v>
      </c>
    </row>
    <row r="37" spans="1:17" x14ac:dyDescent="0.3">
      <c r="A37" s="22" t="s">
        <v>32</v>
      </c>
      <c r="B37" s="35">
        <v>15000</v>
      </c>
      <c r="C37" s="22">
        <f>F37+G37+H37+I37+J37+K37+L37+M37+N37+O37+P37+Q37</f>
        <v>5540.97</v>
      </c>
      <c r="D37" s="22">
        <f>B37-C37</f>
        <v>9459.0299999999988</v>
      </c>
      <c r="E37" s="36"/>
      <c r="F37">
        <f>138+270.97+417+190</f>
        <v>1015.97</v>
      </c>
      <c r="O37">
        <v>100</v>
      </c>
      <c r="Q37">
        <f>1500+2925</f>
        <v>4425</v>
      </c>
    </row>
    <row r="38" spans="1:17" x14ac:dyDescent="0.3">
      <c r="A38" s="1" t="s">
        <v>20</v>
      </c>
      <c r="B38" s="33">
        <f>SUM(B35:B37)</f>
        <v>79000</v>
      </c>
      <c r="C38" s="33">
        <f>SUM(C35:C37)</f>
        <v>104150.34</v>
      </c>
      <c r="D38" s="34">
        <f>B38-C38</f>
        <v>-25150.339999999997</v>
      </c>
      <c r="E38" s="31"/>
    </row>
    <row r="39" spans="1:17" x14ac:dyDescent="0.3">
      <c r="A39" s="40"/>
      <c r="B39" s="1"/>
      <c r="C39" s="1"/>
      <c r="D39" s="1"/>
      <c r="E39" s="18"/>
    </row>
    <row r="40" spans="1:17" x14ac:dyDescent="0.3">
      <c r="A40" s="19" t="s">
        <v>33</v>
      </c>
      <c r="B40" s="1"/>
      <c r="C40" s="1"/>
      <c r="D40" s="1"/>
      <c r="E40" s="18"/>
    </row>
    <row r="41" spans="1:17" x14ac:dyDescent="0.3">
      <c r="A41" s="28" t="s">
        <v>34</v>
      </c>
      <c r="B41" s="22">
        <v>150000</v>
      </c>
      <c r="C41" s="22">
        <f>F41+G41+H41+I41+J41+K41+L41+M41+N41+O41+P41+Q41</f>
        <v>135728</v>
      </c>
      <c r="D41" s="22">
        <f t="shared" ref="D41:D48" si="4">B41-C41</f>
        <v>14272</v>
      </c>
      <c r="E41" s="21"/>
      <c r="F41">
        <v>70000</v>
      </c>
      <c r="H41">
        <f>9670</f>
        <v>9670</v>
      </c>
      <c r="O41">
        <v>52500</v>
      </c>
      <c r="Q41">
        <f>98+180+280+3000</f>
        <v>3558</v>
      </c>
    </row>
    <row r="42" spans="1:17" x14ac:dyDescent="0.3">
      <c r="A42" s="22" t="s">
        <v>35</v>
      </c>
      <c r="B42" s="22">
        <v>3000</v>
      </c>
      <c r="C42" s="22">
        <f>F42+G42+H42+I42+J42+K42+L42+M42+N42+O42+P42+Q42</f>
        <v>6535.1399999999994</v>
      </c>
      <c r="D42" s="22">
        <f t="shared" si="4"/>
        <v>-3535.1399999999994</v>
      </c>
      <c r="E42" s="32"/>
      <c r="H42">
        <v>2790</v>
      </c>
      <c r="Q42">
        <f>2943+666+106.14+30</f>
        <v>3745.14</v>
      </c>
    </row>
    <row r="43" spans="1:17" x14ac:dyDescent="0.3">
      <c r="A43" s="22" t="s">
        <v>36</v>
      </c>
      <c r="B43" s="22">
        <v>3000</v>
      </c>
      <c r="C43" s="22">
        <f>F43+G43+H43+I43+J43+K43+L43+M43+N43+O43+P43+Q43</f>
        <v>2867.1800000000003</v>
      </c>
      <c r="D43" s="22">
        <f t="shared" si="4"/>
        <v>132.81999999999971</v>
      </c>
      <c r="E43" s="32"/>
      <c r="H43">
        <f>86.11+136.98</f>
        <v>223.08999999999997</v>
      </c>
      <c r="J43">
        <v>84.3</v>
      </c>
      <c r="L43">
        <f>377.22+13+300+112+19.8+69.56+129.94</f>
        <v>1021.52</v>
      </c>
      <c r="M43">
        <v>175</v>
      </c>
      <c r="N43">
        <f>286.12+23.5+4.28+193.3</f>
        <v>507.2</v>
      </c>
      <c r="P43">
        <f>210.46+137.31+184+30</f>
        <v>561.77</v>
      </c>
      <c r="Q43">
        <f>220.14+40+20.81+13.35</f>
        <v>294.3</v>
      </c>
    </row>
    <row r="44" spans="1:17" x14ac:dyDescent="0.3">
      <c r="A44" s="22" t="s">
        <v>37</v>
      </c>
      <c r="B44" s="38">
        <v>15000</v>
      </c>
      <c r="C44" s="22">
        <f>F44+G44+H44+I44+J44+K44+L44+M44+N44+O44+P44+Q44</f>
        <v>17825.329999999998</v>
      </c>
      <c r="D44" s="22">
        <f t="shared" si="4"/>
        <v>-2825.3299999999981</v>
      </c>
      <c r="E44" s="32"/>
      <c r="H44">
        <f>106.98</f>
        <v>106.98</v>
      </c>
      <c r="M44">
        <f>323</f>
        <v>323</v>
      </c>
      <c r="N44">
        <f>7213+100+398.8+54.9+42.85+67.78+23.5+270.35+246.99+56.6+85.83+100+137.2+105.57+87+30+53.21+474.71+187.4+300.9+75+86.5+735</f>
        <v>10933.089999999998</v>
      </c>
      <c r="O44">
        <f>680</f>
        <v>680</v>
      </c>
      <c r="P44">
        <f>2470</f>
        <v>2470</v>
      </c>
      <c r="Q44">
        <f>2470+736.12+106.14</f>
        <v>3312.2599999999998</v>
      </c>
    </row>
    <row r="45" spans="1:17" x14ac:dyDescent="0.3">
      <c r="A45" s="22" t="s">
        <v>38</v>
      </c>
      <c r="B45" s="22">
        <v>3000</v>
      </c>
      <c r="C45" s="22">
        <f>F45+G45+H45+I45+J45+K45+L45+M45+N45+O45+P45+Q46</f>
        <v>0</v>
      </c>
      <c r="D45" s="22">
        <f t="shared" si="4"/>
        <v>3000</v>
      </c>
      <c r="E45" s="32" t="s">
        <v>39</v>
      </c>
    </row>
    <row r="46" spans="1:17" x14ac:dyDescent="0.3">
      <c r="A46" s="25" t="s">
        <v>40</v>
      </c>
      <c r="B46" s="25">
        <v>5000</v>
      </c>
      <c r="C46" s="22">
        <f>F46+G46+H46+I46+J46+K46+L46+M46+N46+O46+P46+Q47</f>
        <v>5000</v>
      </c>
      <c r="D46" s="22">
        <f t="shared" si="4"/>
        <v>0</v>
      </c>
      <c r="E46" s="24"/>
      <c r="G46">
        <v>5000</v>
      </c>
    </row>
    <row r="47" spans="1:17" ht="25.5" x14ac:dyDescent="0.3">
      <c r="A47" s="25" t="s">
        <v>41</v>
      </c>
      <c r="B47" s="25">
        <v>35000</v>
      </c>
      <c r="C47" s="22">
        <f t="shared" ref="C47" si="5">F47+G47+H47+I47+J47+K47+L47+M47+N47+O47+P47+Q48</f>
        <v>0</v>
      </c>
      <c r="D47" s="25">
        <f t="shared" si="4"/>
        <v>35000</v>
      </c>
      <c r="E47" s="24" t="s">
        <v>42</v>
      </c>
    </row>
    <row r="48" spans="1:17" x14ac:dyDescent="0.3">
      <c r="A48" s="41" t="s">
        <v>20</v>
      </c>
      <c r="B48" s="33">
        <f>SUM(B41:B47)</f>
        <v>214000</v>
      </c>
      <c r="C48" s="33">
        <f>SUM(C41:C47)</f>
        <v>167955.65</v>
      </c>
      <c r="D48" s="33">
        <f t="shared" si="4"/>
        <v>46044.350000000006</v>
      </c>
      <c r="E48" s="31"/>
    </row>
    <row r="49" spans="1:17" x14ac:dyDescent="0.3">
      <c r="A49" s="41"/>
      <c r="B49" s="42"/>
      <c r="C49" s="42"/>
      <c r="D49" s="42"/>
      <c r="E49" s="42"/>
    </row>
    <row r="50" spans="1:17" x14ac:dyDescent="0.3">
      <c r="A50" s="19" t="s">
        <v>43</v>
      </c>
      <c r="B50" s="42"/>
      <c r="C50" s="42"/>
      <c r="D50" s="42"/>
      <c r="E50" s="42"/>
    </row>
    <row r="51" spans="1:17" x14ac:dyDescent="0.3">
      <c r="A51" s="22" t="s">
        <v>44</v>
      </c>
      <c r="B51" s="22">
        <v>1000</v>
      </c>
      <c r="C51" s="22">
        <f>F51+G51+H51+I51+J51+K51+L51+M51+N51+O51+P51+Q52</f>
        <v>0</v>
      </c>
      <c r="D51" s="22">
        <f>B51-C51</f>
        <v>1000</v>
      </c>
      <c r="E51" s="32"/>
    </row>
    <row r="52" spans="1:17" x14ac:dyDescent="0.3">
      <c r="A52" s="22" t="s">
        <v>45</v>
      </c>
      <c r="B52" s="22">
        <v>2500</v>
      </c>
      <c r="C52" s="22">
        <f>F52+G52+H52+I52+J52+K52+L52+M52+N52+O52+P52+Q53</f>
        <v>2000</v>
      </c>
      <c r="D52" s="22">
        <f>B52-C52</f>
        <v>500</v>
      </c>
      <c r="E52" s="32"/>
    </row>
    <row r="53" spans="1:17" x14ac:dyDescent="0.3">
      <c r="A53" s="22" t="s">
        <v>46</v>
      </c>
      <c r="B53" s="22">
        <v>2500</v>
      </c>
      <c r="C53" s="22">
        <f>F53+G53+H53+I53+J53+K53+L53+M53+N53+O53+P53+Q53</f>
        <v>4550</v>
      </c>
      <c r="D53" s="22">
        <f>B53-C53</f>
        <v>-2050</v>
      </c>
      <c r="E53" s="32"/>
      <c r="N53">
        <f>1350+1200</f>
        <v>2550</v>
      </c>
      <c r="Q53">
        <f>2000</f>
        <v>2000</v>
      </c>
    </row>
    <row r="54" spans="1:17" x14ac:dyDescent="0.3">
      <c r="A54" s="43"/>
      <c r="B54" s="19">
        <f>SUM(B51:B53)</f>
        <v>6000</v>
      </c>
      <c r="C54" s="19">
        <f>SUM(C51:C53)</f>
        <v>6550</v>
      </c>
      <c r="D54" s="19">
        <f>SUM(D51:D53)</f>
        <v>-550</v>
      </c>
      <c r="E54" s="19"/>
    </row>
    <row r="55" spans="1:17" x14ac:dyDescent="0.3">
      <c r="A55" s="43"/>
      <c r="B55" s="43"/>
      <c r="C55" s="43"/>
      <c r="D55" s="43"/>
      <c r="E55" s="43"/>
    </row>
    <row r="56" spans="1:17" x14ac:dyDescent="0.3">
      <c r="A56" s="44" t="s">
        <v>47</v>
      </c>
      <c r="B56" s="43"/>
      <c r="C56" s="43"/>
      <c r="D56" s="43"/>
      <c r="E56" s="18"/>
    </row>
    <row r="57" spans="1:17" x14ac:dyDescent="0.3">
      <c r="A57" s="4" t="s">
        <v>123</v>
      </c>
      <c r="B57" s="43"/>
      <c r="C57" s="43"/>
      <c r="D57" s="43"/>
      <c r="E57" s="18"/>
    </row>
    <row r="58" spans="1:17" x14ac:dyDescent="0.3">
      <c r="A58" s="22" t="s">
        <v>48</v>
      </c>
      <c r="B58" s="22">
        <v>2000</v>
      </c>
      <c r="C58" s="22">
        <f t="shared" ref="C58:C70" si="6">F58+G58+H58+I58+J58+K58+L58+M58+N58+O58+P58+Q59</f>
        <v>19264.5</v>
      </c>
      <c r="D58" s="22">
        <f t="shared" ref="D58:D72" si="7">B58-C58</f>
        <v>-17264.5</v>
      </c>
      <c r="E58" s="32"/>
      <c r="H58">
        <f>4095</f>
        <v>4095</v>
      </c>
      <c r="I58">
        <f>53+6435+491</f>
        <v>6979</v>
      </c>
      <c r="J58">
        <f>293+2632.5</f>
        <v>2925.5</v>
      </c>
      <c r="K58">
        <v>5265</v>
      </c>
    </row>
    <row r="59" spans="1:17" x14ac:dyDescent="0.3">
      <c r="A59" s="45" t="s">
        <v>49</v>
      </c>
      <c r="B59" s="22">
        <v>1170</v>
      </c>
      <c r="C59" s="22">
        <f>F59+G59+H59+I59+J59+K59+L59+M59+N59+O59+P59+Q59</f>
        <v>1074.6500000000001</v>
      </c>
      <c r="D59" s="22">
        <f t="shared" si="7"/>
        <v>95.349999999999909</v>
      </c>
      <c r="E59" s="32"/>
      <c r="O59">
        <v>1074.6500000000001</v>
      </c>
    </row>
    <row r="60" spans="1:17" x14ac:dyDescent="0.3">
      <c r="A60" s="22" t="s">
        <v>50</v>
      </c>
      <c r="B60" s="22">
        <v>2000</v>
      </c>
      <c r="C60" s="22">
        <f>F60+G60+H60+I60+J60+K60+L60+M60+N60+O60+P60+Q60</f>
        <v>16614</v>
      </c>
      <c r="D60" s="22">
        <f t="shared" si="7"/>
        <v>-14614</v>
      </c>
      <c r="E60" s="32"/>
      <c r="P60">
        <v>8307</v>
      </c>
      <c r="Q60">
        <v>8307</v>
      </c>
    </row>
    <row r="61" spans="1:17" x14ac:dyDescent="0.3">
      <c r="A61" s="22" t="s">
        <v>51</v>
      </c>
      <c r="B61" s="22">
        <v>1000</v>
      </c>
      <c r="C61" s="22">
        <f t="shared" si="6"/>
        <v>80</v>
      </c>
      <c r="D61" s="22">
        <f t="shared" si="7"/>
        <v>920</v>
      </c>
      <c r="E61" s="32" t="s">
        <v>52</v>
      </c>
      <c r="O61">
        <v>80</v>
      </c>
    </row>
    <row r="62" spans="1:17" x14ac:dyDescent="0.3">
      <c r="A62" s="22" t="s">
        <v>53</v>
      </c>
      <c r="B62" s="22">
        <v>2000</v>
      </c>
      <c r="C62" s="22">
        <f t="shared" si="6"/>
        <v>0</v>
      </c>
      <c r="D62" s="22">
        <f t="shared" si="7"/>
        <v>2000</v>
      </c>
      <c r="E62" s="32"/>
    </row>
    <row r="63" spans="1:17" x14ac:dyDescent="0.3">
      <c r="A63" s="22" t="s">
        <v>54</v>
      </c>
      <c r="B63" s="22">
        <v>3000</v>
      </c>
      <c r="C63" s="22">
        <f t="shared" si="6"/>
        <v>380.25</v>
      </c>
      <c r="D63" s="22">
        <f t="shared" si="7"/>
        <v>2619.75</v>
      </c>
      <c r="E63" s="32"/>
      <c r="I63">
        <v>380.25</v>
      </c>
    </row>
    <row r="64" spans="1:17" x14ac:dyDescent="0.3">
      <c r="A64" s="22" t="s">
        <v>55</v>
      </c>
      <c r="B64" s="35">
        <v>5000</v>
      </c>
      <c r="C64" s="22">
        <f>F64+G64+H64+I64+J64+K64+L64+M64+N64+O64+P64+Q64</f>
        <v>0</v>
      </c>
      <c r="D64" s="22">
        <f t="shared" si="7"/>
        <v>5000</v>
      </c>
      <c r="E64" s="32"/>
    </row>
    <row r="65" spans="1:17" x14ac:dyDescent="0.3">
      <c r="A65" s="23" t="s">
        <v>56</v>
      </c>
      <c r="B65" s="25">
        <v>1000</v>
      </c>
      <c r="C65" s="22">
        <f>F65+G65+H65+I65+J65+K65+L65+M65+N65+O65+P65+Q65</f>
        <v>2365</v>
      </c>
      <c r="D65" s="22">
        <f t="shared" si="7"/>
        <v>-1365</v>
      </c>
      <c r="E65" s="46"/>
      <c r="H65">
        <v>1245</v>
      </c>
      <c r="Q65">
        <v>1120</v>
      </c>
    </row>
    <row r="66" spans="1:17" x14ac:dyDescent="0.3">
      <c r="A66" s="23" t="s">
        <v>57</v>
      </c>
      <c r="B66" s="25">
        <v>2000</v>
      </c>
      <c r="C66" s="22">
        <f t="shared" si="6"/>
        <v>700</v>
      </c>
      <c r="D66" s="22">
        <f t="shared" si="7"/>
        <v>1300</v>
      </c>
      <c r="E66" s="46"/>
      <c r="P66">
        <v>700</v>
      </c>
    </row>
    <row r="67" spans="1:17" x14ac:dyDescent="0.3">
      <c r="A67" s="47" t="s">
        <v>58</v>
      </c>
      <c r="B67" s="48"/>
      <c r="C67" s="22">
        <f t="shared" si="6"/>
        <v>550</v>
      </c>
      <c r="D67" s="22">
        <f t="shared" si="7"/>
        <v>-550</v>
      </c>
      <c r="E67" s="46"/>
    </row>
    <row r="68" spans="1:17" x14ac:dyDescent="0.3">
      <c r="A68" s="22" t="s">
        <v>59</v>
      </c>
      <c r="B68" s="28">
        <v>2000</v>
      </c>
      <c r="C68" s="22">
        <f>F68+G68+H68+I68+J68+K68+L68+M68+N68+O68+P68+Q68</f>
        <v>1776</v>
      </c>
      <c r="D68" s="22">
        <f t="shared" si="7"/>
        <v>224</v>
      </c>
      <c r="E68" s="32"/>
      <c r="G68">
        <f>875</f>
        <v>875</v>
      </c>
      <c r="N68">
        <v>351</v>
      </c>
      <c r="Q68">
        <v>550</v>
      </c>
    </row>
    <row r="69" spans="1:17" x14ac:dyDescent="0.3">
      <c r="A69" s="35" t="s">
        <v>60</v>
      </c>
      <c r="B69" s="35">
        <v>2000</v>
      </c>
      <c r="C69" s="22">
        <f t="shared" si="6"/>
        <v>0</v>
      </c>
      <c r="D69" s="22">
        <f t="shared" si="7"/>
        <v>2000</v>
      </c>
      <c r="E69" s="36"/>
    </row>
    <row r="70" spans="1:17" x14ac:dyDescent="0.3">
      <c r="A70" s="25" t="s">
        <v>61</v>
      </c>
      <c r="B70" s="25">
        <v>1000</v>
      </c>
      <c r="C70" s="22">
        <f t="shared" si="6"/>
        <v>559.64</v>
      </c>
      <c r="D70" s="22">
        <f t="shared" si="7"/>
        <v>440.36</v>
      </c>
      <c r="E70" s="24"/>
      <c r="H70">
        <f>220</f>
        <v>220</v>
      </c>
    </row>
    <row r="71" spans="1:17" x14ac:dyDescent="0.3">
      <c r="A71" s="25" t="s">
        <v>62</v>
      </c>
      <c r="B71" s="25">
        <v>12000</v>
      </c>
      <c r="C71" s="22">
        <f>F71+G71+H71+I71+J71+K71+L71+M71+N71+O71+P71+Q71</f>
        <v>12539.64</v>
      </c>
      <c r="D71" s="22">
        <f t="shared" si="7"/>
        <v>-539.63999999999942</v>
      </c>
      <c r="E71" s="24"/>
      <c r="I71">
        <f>6435+300</f>
        <v>6735</v>
      </c>
      <c r="J71">
        <f>5265</f>
        <v>5265</v>
      </c>
      <c r="L71">
        <v>200</v>
      </c>
      <c r="Q71">
        <v>339.64</v>
      </c>
    </row>
    <row r="72" spans="1:17" x14ac:dyDescent="0.3">
      <c r="A72" s="1" t="s">
        <v>20</v>
      </c>
      <c r="B72" s="49">
        <f>SUM(B58:B71)</f>
        <v>36170</v>
      </c>
      <c r="C72" s="49">
        <f>SUM(C58:C71)</f>
        <v>55903.68</v>
      </c>
      <c r="D72" s="50">
        <f t="shared" si="7"/>
        <v>-19733.68</v>
      </c>
      <c r="E72" s="51"/>
    </row>
    <row r="73" spans="1:17" x14ac:dyDescent="0.3">
      <c r="A73" s="1"/>
      <c r="B73" s="1"/>
      <c r="C73" s="1"/>
      <c r="D73" s="1"/>
      <c r="E73" s="52"/>
    </row>
    <row r="74" spans="1:17" x14ac:dyDescent="0.3">
      <c r="A74" s="4" t="s">
        <v>63</v>
      </c>
      <c r="B74" s="1"/>
      <c r="C74" s="1"/>
      <c r="D74" s="1"/>
      <c r="E74" s="18"/>
    </row>
    <row r="75" spans="1:17" x14ac:dyDescent="0.3">
      <c r="A75" s="53" t="s">
        <v>64</v>
      </c>
      <c r="B75" s="54">
        <v>15000</v>
      </c>
      <c r="C75" s="22">
        <f>F75+G75+H75+I75+J75+K75+L75+M75+N75+O75+P75+Q76</f>
        <v>0</v>
      </c>
      <c r="D75" s="22">
        <f>B75-C75</f>
        <v>15000</v>
      </c>
      <c r="E75" s="32"/>
    </row>
    <row r="76" spans="1:17" x14ac:dyDescent="0.3">
      <c r="A76" s="53" t="s">
        <v>65</v>
      </c>
      <c r="B76" s="54">
        <v>5000</v>
      </c>
      <c r="C76" s="22">
        <f>F76+G76+H76+I76+J76+K76+L76+M76+N76+O76+P76+Q77</f>
        <v>3460.6899999999996</v>
      </c>
      <c r="D76" s="22">
        <f>B76-C76</f>
        <v>1539.3100000000004</v>
      </c>
      <c r="E76" s="32"/>
      <c r="K76">
        <f>743+40.8</f>
        <v>783.8</v>
      </c>
      <c r="L76">
        <f>12.9+696.96</f>
        <v>709.86</v>
      </c>
      <c r="P76">
        <f>917.03+1000+50</f>
        <v>1967.03</v>
      </c>
    </row>
    <row r="77" spans="1:17" x14ac:dyDescent="0.3">
      <c r="A77" s="55" t="s">
        <v>66</v>
      </c>
      <c r="B77" s="56">
        <v>5100</v>
      </c>
      <c r="C77" s="22">
        <f>F77+G77+H77+I77+J77+K77+L77+M77+N77+O77+P77+Q78</f>
        <v>0</v>
      </c>
      <c r="D77" s="35">
        <f>B77-C77</f>
        <v>5100</v>
      </c>
      <c r="E77" s="36"/>
    </row>
    <row r="78" spans="1:17" ht="15.5" customHeight="1" x14ac:dyDescent="0.3">
      <c r="A78" s="57" t="s">
        <v>67</v>
      </c>
      <c r="B78" s="58">
        <v>0</v>
      </c>
      <c r="C78" s="22">
        <f>F78+G78+H78+I78+J78+K78+L78+M78+N78+O78+P78+Q79</f>
        <v>2653.82</v>
      </c>
      <c r="D78" s="25">
        <f>B78-C78</f>
        <v>-2653.82</v>
      </c>
      <c r="E78" s="24"/>
      <c r="N78">
        <f>2000+93.3+12.9+49.58+30.44+47.68+18.84+32.5+368.58</f>
        <v>2653.82</v>
      </c>
    </row>
    <row r="79" spans="1:17" x14ac:dyDescent="0.3">
      <c r="A79" s="41" t="s">
        <v>20</v>
      </c>
      <c r="B79" s="33">
        <f>SUM(B75:B78)</f>
        <v>25100</v>
      </c>
      <c r="C79" s="102">
        <f>SUM(C75:C78)</f>
        <v>6114.51</v>
      </c>
      <c r="D79" s="33">
        <f>B79-C79</f>
        <v>18985.489999999998</v>
      </c>
      <c r="E79" s="31"/>
    </row>
    <row r="80" spans="1:17" x14ac:dyDescent="0.3">
      <c r="A80" s="1"/>
      <c r="B80" s="1"/>
      <c r="C80" s="1"/>
      <c r="D80" s="1"/>
      <c r="E80" s="52"/>
    </row>
    <row r="81" spans="1:17" x14ac:dyDescent="0.3">
      <c r="A81" s="59" t="s">
        <v>68</v>
      </c>
      <c r="B81" s="1"/>
      <c r="C81" s="1"/>
      <c r="D81" s="1"/>
      <c r="E81" s="60"/>
    </row>
    <row r="82" spans="1:17" x14ac:dyDescent="0.3">
      <c r="A82" s="57" t="s">
        <v>69</v>
      </c>
      <c r="B82" s="61">
        <v>15000</v>
      </c>
      <c r="C82" s="22">
        <f>9000+J82+K82+L82+M82+N82+O82+P82+Q82</f>
        <v>35175.89</v>
      </c>
      <c r="D82" s="22">
        <f t="shared" ref="D82:D92" si="8">B82-C82</f>
        <v>-20175.89</v>
      </c>
      <c r="E82" s="92" t="s">
        <v>135</v>
      </c>
      <c r="J82">
        <f>10+19.77+33.8</f>
        <v>63.569999999999993</v>
      </c>
      <c r="K82">
        <f>75+75+125+125+11.8+53.7+172.3</f>
        <v>637.79999999999995</v>
      </c>
      <c r="M82">
        <v>249.72</v>
      </c>
      <c r="N82">
        <f>1500+7605+2000+1250+680+175.5+538+1510+175.5+251.8+1500</f>
        <v>17185.8</v>
      </c>
      <c r="P82">
        <v>7605</v>
      </c>
      <c r="Q82">
        <f>434</f>
        <v>434</v>
      </c>
    </row>
    <row r="83" spans="1:17" x14ac:dyDescent="0.3">
      <c r="A83" s="57" t="s">
        <v>70</v>
      </c>
      <c r="B83" s="61">
        <v>3000</v>
      </c>
      <c r="C83" s="22">
        <f>F83+G83+H83+I83+J83+K83+L83+M83+N83+O83+P83+Q83</f>
        <v>7211.6</v>
      </c>
      <c r="D83" s="22">
        <f t="shared" si="8"/>
        <v>-4211.6000000000004</v>
      </c>
      <c r="E83" s="53"/>
      <c r="K83">
        <f>6786</f>
        <v>6786</v>
      </c>
      <c r="Q83">
        <f>163+25.9+90+20.8+66.1+59.8</f>
        <v>425.59999999999997</v>
      </c>
    </row>
    <row r="84" spans="1:17" x14ac:dyDescent="0.3">
      <c r="A84" s="57" t="s">
        <v>71</v>
      </c>
      <c r="B84" s="61">
        <v>4000</v>
      </c>
      <c r="C84" s="22">
        <v>3000</v>
      </c>
      <c r="D84" s="22">
        <f t="shared" si="8"/>
        <v>1000</v>
      </c>
      <c r="E84" s="92" t="s">
        <v>136</v>
      </c>
    </row>
    <row r="85" spans="1:17" x14ac:dyDescent="0.3">
      <c r="A85" s="57" t="s">
        <v>72</v>
      </c>
      <c r="B85" s="61">
        <v>5000</v>
      </c>
      <c r="C85" s="22"/>
      <c r="D85" s="22">
        <v>5000</v>
      </c>
      <c r="E85" s="53"/>
      <c r="M85" t="s">
        <v>145</v>
      </c>
    </row>
    <row r="86" spans="1:17" x14ac:dyDescent="0.3">
      <c r="A86" s="57" t="s">
        <v>73</v>
      </c>
      <c r="B86" s="61">
        <v>2000</v>
      </c>
      <c r="C86" s="22">
        <f>F86+G86+H86+I86+J86+K86+L86+M86+N86+O86+P86+Q87</f>
        <v>328.08</v>
      </c>
      <c r="D86" s="22">
        <f t="shared" si="8"/>
        <v>1671.92</v>
      </c>
      <c r="E86" s="53"/>
      <c r="H86">
        <f>41.9+222.61</f>
        <v>264.51</v>
      </c>
      <c r="I86">
        <f>10+19.77+33.8</f>
        <v>63.569999999999993</v>
      </c>
    </row>
    <row r="87" spans="1:17" x14ac:dyDescent="0.3">
      <c r="A87" s="57" t="s">
        <v>74</v>
      </c>
      <c r="B87" s="62">
        <v>1000</v>
      </c>
      <c r="C87" s="22">
        <f>F87+G87+H87+I87+J87+K87+L87+M87+N87+O87+P87+Q88</f>
        <v>63.569999999999993</v>
      </c>
      <c r="D87" s="22">
        <f t="shared" si="8"/>
        <v>936.43000000000006</v>
      </c>
      <c r="E87" s="53"/>
      <c r="G87">
        <f>10+33.8+19.77</f>
        <v>63.569999999999993</v>
      </c>
    </row>
    <row r="88" spans="1:17" x14ac:dyDescent="0.3">
      <c r="A88" s="57" t="s">
        <v>75</v>
      </c>
      <c r="B88" s="61">
        <v>3000</v>
      </c>
      <c r="C88" s="22">
        <v>3000</v>
      </c>
      <c r="D88" s="22">
        <f t="shared" si="8"/>
        <v>0</v>
      </c>
      <c r="E88" s="92" t="s">
        <v>136</v>
      </c>
    </row>
    <row r="89" spans="1:17" x14ac:dyDescent="0.3">
      <c r="A89" s="57" t="s">
        <v>76</v>
      </c>
      <c r="B89" s="61">
        <v>8000</v>
      </c>
      <c r="C89" s="22">
        <f>F89+G89+H89+I89+J89+K89+L89+M89+N89+O89+P89+Q90</f>
        <v>0</v>
      </c>
      <c r="D89" s="22">
        <f t="shared" si="8"/>
        <v>8000</v>
      </c>
      <c r="E89" s="53"/>
    </row>
    <row r="90" spans="1:17" x14ac:dyDescent="0.3">
      <c r="A90" s="57" t="s">
        <v>77</v>
      </c>
      <c r="B90" s="63">
        <v>2000</v>
      </c>
      <c r="C90" s="22">
        <f>F90+G90+H90+I90+J90+K90+L90+M90+N90+O90+P90+Q91</f>
        <v>1297.9000000000001</v>
      </c>
      <c r="D90" s="22">
        <f t="shared" si="8"/>
        <v>702.09999999999991</v>
      </c>
      <c r="E90" s="64" t="s">
        <v>78</v>
      </c>
      <c r="H90">
        <f>500+319+30+22.5+63.6+43.4+319.4</f>
        <v>1297.9000000000001</v>
      </c>
    </row>
    <row r="91" spans="1:17" x14ac:dyDescent="0.3">
      <c r="A91" s="65" t="s">
        <v>79</v>
      </c>
      <c r="B91" s="66">
        <v>10000</v>
      </c>
      <c r="C91" s="22">
        <f>F91+G91+H91+I91+J91+K91+L91+M91+N91+O91+P91+Q92</f>
        <v>585</v>
      </c>
      <c r="D91" s="22">
        <f t="shared" si="8"/>
        <v>9415</v>
      </c>
      <c r="E91" s="53" t="s">
        <v>80</v>
      </c>
      <c r="K91">
        <f>292.5+292.5</f>
        <v>585</v>
      </c>
    </row>
    <row r="92" spans="1:17" x14ac:dyDescent="0.3">
      <c r="A92" s="1" t="s">
        <v>20</v>
      </c>
      <c r="B92" s="33">
        <f>SUM(B82:B91)</f>
        <v>53000</v>
      </c>
      <c r="C92" s="33">
        <f>SUM(C82:C91)</f>
        <v>50662.04</v>
      </c>
      <c r="D92" s="67">
        <f t="shared" si="8"/>
        <v>2337.9599999999991</v>
      </c>
      <c r="E92" s="68"/>
    </row>
    <row r="93" spans="1:17" x14ac:dyDescent="0.3">
      <c r="A93" s="1"/>
      <c r="B93" s="1"/>
      <c r="C93" s="1"/>
      <c r="D93" s="1"/>
      <c r="E93" s="52"/>
    </row>
    <row r="94" spans="1:17" x14ac:dyDescent="0.3">
      <c r="A94" s="4" t="s">
        <v>81</v>
      </c>
      <c r="B94" s="1"/>
      <c r="C94" s="1"/>
      <c r="D94" s="1"/>
      <c r="E94" s="18"/>
    </row>
    <row r="95" spans="1:17" x14ac:dyDescent="0.3">
      <c r="A95" s="69" t="s">
        <v>82</v>
      </c>
      <c r="B95" s="25"/>
      <c r="C95" s="22">
        <f>F95+G95+H95+I95+J95+K95+L95+M95+N95+O95+P95+Q96</f>
        <v>0</v>
      </c>
      <c r="D95" s="25"/>
      <c r="E95" s="70"/>
    </row>
    <row r="96" spans="1:17" x14ac:dyDescent="0.3">
      <c r="A96" s="25" t="s">
        <v>83</v>
      </c>
      <c r="B96" s="25">
        <v>3000</v>
      </c>
      <c r="C96" s="22">
        <v>1000</v>
      </c>
      <c r="D96" s="25">
        <f t="shared" ref="D96:D118" si="9">B96-C96</f>
        <v>2000</v>
      </c>
      <c r="E96" s="92" t="s">
        <v>137</v>
      </c>
    </row>
    <row r="97" spans="1:17" x14ac:dyDescent="0.3">
      <c r="A97" s="28" t="s">
        <v>84</v>
      </c>
      <c r="B97" s="28">
        <v>3500</v>
      </c>
      <c r="C97" s="22">
        <v>2000</v>
      </c>
      <c r="D97" s="25">
        <f t="shared" si="9"/>
        <v>1500</v>
      </c>
      <c r="E97" s="92" t="s">
        <v>139</v>
      </c>
    </row>
    <row r="98" spans="1:17" x14ac:dyDescent="0.3">
      <c r="A98" s="22" t="s">
        <v>85</v>
      </c>
      <c r="B98" s="22">
        <v>600</v>
      </c>
      <c r="C98" s="22">
        <f>F98+G98+H98+I98+J98+K98+L98+M98+N98+O98+P98+Q99</f>
        <v>0</v>
      </c>
      <c r="D98" s="25">
        <f t="shared" si="9"/>
        <v>600</v>
      </c>
      <c r="E98" s="71"/>
    </row>
    <row r="99" spans="1:17" x14ac:dyDescent="0.3">
      <c r="A99" s="22" t="s">
        <v>86</v>
      </c>
      <c r="B99" s="22">
        <v>1000</v>
      </c>
      <c r="C99" s="22">
        <f>F99+G99+H99+I99+J99+K99+L99+M99+N99+O99+P99+Q100</f>
        <v>0</v>
      </c>
      <c r="D99" s="25">
        <f t="shared" si="9"/>
        <v>1000</v>
      </c>
      <c r="E99" s="71" t="s">
        <v>87</v>
      </c>
    </row>
    <row r="100" spans="1:17" x14ac:dyDescent="0.3">
      <c r="A100" s="22" t="s">
        <v>88</v>
      </c>
      <c r="B100" s="22">
        <v>2000</v>
      </c>
      <c r="C100" s="22">
        <f>F100+G100+H100+I100+J100+K100+L100+M100+N100+O100+P100+Q101</f>
        <v>4549.8100000000004</v>
      </c>
      <c r="D100" s="25">
        <f t="shared" si="9"/>
        <v>-2549.8100000000004</v>
      </c>
      <c r="E100" s="32"/>
      <c r="L100">
        <f>4549.81</f>
        <v>4549.8100000000004</v>
      </c>
    </row>
    <row r="101" spans="1:17" x14ac:dyDescent="0.3">
      <c r="A101" s="72" t="s">
        <v>89</v>
      </c>
      <c r="B101" s="22">
        <v>33000</v>
      </c>
      <c r="C101" s="22">
        <f>15000+F101+G101+H101+I101+J101+K101+L101+M101+N101+O101+P101+Q101</f>
        <v>28535.81</v>
      </c>
      <c r="D101" s="25">
        <f t="shared" si="9"/>
        <v>4464.1899999999987</v>
      </c>
      <c r="E101" s="92" t="s">
        <v>138</v>
      </c>
      <c r="M101">
        <v>7007</v>
      </c>
      <c r="N101">
        <f>4914+90+67.74+42.85+15+286.12+54.9+322.1+322.1+14+50+350</f>
        <v>6528.81</v>
      </c>
    </row>
    <row r="102" spans="1:17" x14ac:dyDescent="0.3">
      <c r="A102" s="22" t="s">
        <v>90</v>
      </c>
      <c r="B102" s="22"/>
      <c r="C102" s="22">
        <f>F102+G102+H102+I102+J102+K102+L102+M102+N102+O102+P102+Q102</f>
        <v>0</v>
      </c>
      <c r="D102" s="25">
        <f t="shared" si="9"/>
        <v>0</v>
      </c>
      <c r="E102" s="71" t="s">
        <v>142</v>
      </c>
    </row>
    <row r="103" spans="1:17" x14ac:dyDescent="0.3">
      <c r="A103" s="22" t="s">
        <v>91</v>
      </c>
      <c r="B103" s="22">
        <v>1000</v>
      </c>
      <c r="C103" s="22">
        <f>F103+G103+H103+I103+J103+K103+L103+M103+N103+O103+P103+Q103</f>
        <v>2150.46</v>
      </c>
      <c r="D103" s="25">
        <f t="shared" si="9"/>
        <v>-1150.46</v>
      </c>
      <c r="E103" s="71"/>
      <c r="Q103">
        <f>2150.46</f>
        <v>2150.46</v>
      </c>
    </row>
    <row r="104" spans="1:17" x14ac:dyDescent="0.3">
      <c r="A104" s="22" t="s">
        <v>92</v>
      </c>
      <c r="B104" s="22">
        <v>5000</v>
      </c>
      <c r="C104" s="22">
        <f>F104+G104+H104+I104+J104+K104+L104+M104+N104+O104+P104+Q105</f>
        <v>4269.8100000000004</v>
      </c>
      <c r="D104" s="25">
        <f t="shared" si="9"/>
        <v>730.1899999999996</v>
      </c>
      <c r="E104" s="71"/>
      <c r="P104">
        <v>4269.8100000000004</v>
      </c>
    </row>
    <row r="105" spans="1:17" x14ac:dyDescent="0.3">
      <c r="A105" s="72" t="s">
        <v>93</v>
      </c>
      <c r="B105" s="22">
        <v>4600</v>
      </c>
      <c r="C105" s="22">
        <f>F105+G105+H105+I105+J105+K105+L105+M105+N105+O105+P105+Q106</f>
        <v>7550</v>
      </c>
      <c r="D105" s="25">
        <v>2050</v>
      </c>
      <c r="E105" s="71"/>
      <c r="L105">
        <f>550</f>
        <v>550</v>
      </c>
      <c r="O105">
        <f>7000</f>
        <v>7000</v>
      </c>
    </row>
    <row r="106" spans="1:17" x14ac:dyDescent="0.3">
      <c r="A106" s="73" t="s">
        <v>94</v>
      </c>
      <c r="B106" s="22"/>
      <c r="C106" s="22">
        <f>F106+G106+H106+I106+J106+K106+L106+M106+N106+O106+P106+Q107</f>
        <v>0</v>
      </c>
      <c r="D106" s="25">
        <f t="shared" si="9"/>
        <v>0</v>
      </c>
      <c r="E106" s="32"/>
    </row>
    <row r="107" spans="1:17" x14ac:dyDescent="0.3">
      <c r="A107" s="22" t="s">
        <v>95</v>
      </c>
      <c r="B107" s="22">
        <v>30000</v>
      </c>
      <c r="C107" s="22">
        <v>15000</v>
      </c>
      <c r="D107" s="25">
        <f t="shared" si="9"/>
        <v>15000</v>
      </c>
      <c r="E107" s="92" t="s">
        <v>138</v>
      </c>
    </row>
    <row r="108" spans="1:17" x14ac:dyDescent="0.3">
      <c r="A108" s="72" t="s">
        <v>96</v>
      </c>
      <c r="B108" s="22"/>
      <c r="C108" s="22">
        <f t="shared" ref="C108:C114" si="10">F108+G108+H108+I108+J108+K108+L108+M108+N108+O108+P108+Q109</f>
        <v>0</v>
      </c>
      <c r="D108" s="25">
        <f t="shared" si="9"/>
        <v>0</v>
      </c>
      <c r="E108" s="74"/>
    </row>
    <row r="109" spans="1:17" x14ac:dyDescent="0.3">
      <c r="A109" s="22" t="s">
        <v>97</v>
      </c>
      <c r="B109" s="22">
        <v>10000</v>
      </c>
      <c r="C109" s="22">
        <f t="shared" si="10"/>
        <v>0</v>
      </c>
      <c r="D109" s="25">
        <f t="shared" si="9"/>
        <v>10000</v>
      </c>
      <c r="E109" s="74"/>
    </row>
    <row r="110" spans="1:17" x14ac:dyDescent="0.3">
      <c r="A110" s="72" t="s">
        <v>98</v>
      </c>
      <c r="B110" s="22"/>
      <c r="C110" s="22">
        <f>F110+G110+H110+I110+J110+K110+L110+M110+N110+O110+P110+Q110</f>
        <v>0</v>
      </c>
      <c r="D110" s="25">
        <f t="shared" si="9"/>
        <v>0</v>
      </c>
      <c r="E110" s="74"/>
    </row>
    <row r="111" spans="1:17" x14ac:dyDescent="0.3">
      <c r="A111" s="22" t="s">
        <v>99</v>
      </c>
      <c r="B111" s="22">
        <v>20000</v>
      </c>
      <c r="C111" s="22">
        <f>F111+G111+H111+I111+J111+K111+L111+M111+N111+O111+P111+Q111</f>
        <v>25800</v>
      </c>
      <c r="D111" s="25">
        <f t="shared" si="9"/>
        <v>-5800</v>
      </c>
      <c r="E111" s="74"/>
      <c r="F111">
        <v>1200</v>
      </c>
      <c r="M111">
        <v>10800</v>
      </c>
      <c r="N111">
        <f>3600</f>
        <v>3600</v>
      </c>
      <c r="P111">
        <v>6000</v>
      </c>
      <c r="Q111">
        <v>4200</v>
      </c>
    </row>
    <row r="112" spans="1:17" x14ac:dyDescent="0.3">
      <c r="A112" s="72" t="s">
        <v>100</v>
      </c>
      <c r="B112" s="22">
        <v>3000</v>
      </c>
      <c r="C112" s="22">
        <f t="shared" si="10"/>
        <v>0</v>
      </c>
      <c r="D112" s="25">
        <f t="shared" si="9"/>
        <v>3000</v>
      </c>
      <c r="E112" s="75"/>
    </row>
    <row r="113" spans="1:17" x14ac:dyDescent="0.3">
      <c r="A113" s="35" t="s">
        <v>101</v>
      </c>
      <c r="B113" s="22">
        <v>3000</v>
      </c>
      <c r="C113" s="22">
        <f t="shared" si="10"/>
        <v>550</v>
      </c>
      <c r="D113" s="25">
        <f t="shared" si="9"/>
        <v>2450</v>
      </c>
      <c r="E113" s="74"/>
      <c r="G113">
        <v>150</v>
      </c>
      <c r="H113">
        <v>400</v>
      </c>
    </row>
    <row r="114" spans="1:17" x14ac:dyDescent="0.3">
      <c r="A114" s="76" t="s">
        <v>102</v>
      </c>
      <c r="B114" s="77">
        <v>4000</v>
      </c>
      <c r="C114" s="22">
        <f t="shared" si="10"/>
        <v>1525</v>
      </c>
      <c r="D114" s="25">
        <f t="shared" si="9"/>
        <v>2475</v>
      </c>
      <c r="E114" s="71"/>
      <c r="I114">
        <v>525</v>
      </c>
      <c r="L114">
        <v>1000</v>
      </c>
    </row>
    <row r="115" spans="1:17" x14ac:dyDescent="0.3">
      <c r="A115" s="76" t="s">
        <v>103</v>
      </c>
      <c r="B115" s="76">
        <v>5000</v>
      </c>
      <c r="C115" s="22">
        <v>1000</v>
      </c>
      <c r="D115" s="25">
        <f t="shared" si="9"/>
        <v>4000</v>
      </c>
      <c r="E115" s="92" t="s">
        <v>137</v>
      </c>
    </row>
    <row r="116" spans="1:17" x14ac:dyDescent="0.3">
      <c r="A116" s="25" t="s">
        <v>104</v>
      </c>
      <c r="B116" s="25">
        <v>4000</v>
      </c>
      <c r="C116" s="22">
        <v>1000</v>
      </c>
      <c r="D116" s="25">
        <f t="shared" si="9"/>
        <v>3000</v>
      </c>
      <c r="E116" s="92" t="s">
        <v>137</v>
      </c>
    </row>
    <row r="117" spans="1:17" x14ac:dyDescent="0.3">
      <c r="A117" s="69" t="s">
        <v>120</v>
      </c>
      <c r="B117" s="25">
        <v>19000</v>
      </c>
      <c r="C117" s="91">
        <v>15000</v>
      </c>
      <c r="D117" s="25">
        <f t="shared" si="9"/>
        <v>4000</v>
      </c>
      <c r="E117" s="92" t="s">
        <v>138</v>
      </c>
    </row>
    <row r="118" spans="1:17" x14ac:dyDescent="0.3">
      <c r="A118" s="41" t="s">
        <v>20</v>
      </c>
      <c r="B118" s="33">
        <f>SUM(B95:B117)</f>
        <v>151700</v>
      </c>
      <c r="C118" s="33">
        <f>SUM(C95:C117)</f>
        <v>109930.89</v>
      </c>
      <c r="D118" s="33">
        <f t="shared" si="9"/>
        <v>41769.11</v>
      </c>
      <c r="E118" s="31"/>
    </row>
    <row r="119" spans="1:17" x14ac:dyDescent="0.3">
      <c r="A119" s="1"/>
      <c r="B119" s="1"/>
      <c r="C119" s="1"/>
      <c r="D119" s="1"/>
      <c r="E119" s="52"/>
    </row>
    <row r="120" spans="1:17" x14ac:dyDescent="0.3">
      <c r="A120" s="4" t="s">
        <v>105</v>
      </c>
      <c r="B120" s="1"/>
      <c r="C120" s="1"/>
      <c r="D120" s="1"/>
      <c r="E120" s="18"/>
    </row>
    <row r="121" spans="1:17" x14ac:dyDescent="0.3">
      <c r="A121" s="53" t="s">
        <v>121</v>
      </c>
      <c r="B121" s="54">
        <v>110000</v>
      </c>
      <c r="C121" s="22">
        <f>F121+G121+H121+I121+J121+K121+L121+M121+N121+O121+P121+Q121</f>
        <v>76322.82922900001</v>
      </c>
      <c r="D121" s="22">
        <f t="shared" ref="D121:D125" si="11">B121-C121</f>
        <v>33677.17077099999</v>
      </c>
      <c r="E121" s="92" t="s">
        <v>140</v>
      </c>
      <c r="F121">
        <f>100+100</f>
        <v>200</v>
      </c>
      <c r="G121">
        <f>204.6+274.54+164.7+109.8+103.9+23.2+95+40+38+29.4+136+242.2+45.53+38610+1500+19.8+30+350+93.25+250.05+251.81+255.28+93.25+4078</f>
        <v>47038.310000000005</v>
      </c>
      <c r="H121" s="93">
        <v>25000</v>
      </c>
      <c r="I121">
        <f>2800+500</f>
        <v>3300</v>
      </c>
      <c r="K121">
        <f>505.6</f>
        <v>505.6</v>
      </c>
      <c r="L121" s="100">
        <f>69.8+209.119229</f>
        <v>278.91922899999997</v>
      </c>
    </row>
    <row r="122" spans="1:17" ht="25.5" x14ac:dyDescent="0.3">
      <c r="A122" s="53" t="s">
        <v>106</v>
      </c>
      <c r="B122" s="54">
        <v>45000</v>
      </c>
      <c r="C122" s="22">
        <f>F122+G122+H122+I122+J122+K122+L122+M122+N122+O122+P122+Q122</f>
        <v>55664.33</v>
      </c>
      <c r="D122" s="22">
        <f t="shared" si="11"/>
        <v>-10664.330000000002</v>
      </c>
      <c r="E122" s="32" t="s">
        <v>118</v>
      </c>
      <c r="L122">
        <v>39780</v>
      </c>
      <c r="Q122">
        <f>884.33+15000</f>
        <v>15884.33</v>
      </c>
    </row>
    <row r="123" spans="1:17" x14ac:dyDescent="0.3">
      <c r="A123" s="53" t="s">
        <v>107</v>
      </c>
      <c r="B123" s="54">
        <v>25000</v>
      </c>
      <c r="C123" s="22">
        <f>F123+G123+H123+I123+J123+K123+L123+M123+N123+O123+P123+Q123</f>
        <v>10941.04</v>
      </c>
      <c r="D123" s="22">
        <f t="shared" si="11"/>
        <v>14058.96</v>
      </c>
      <c r="E123" s="32"/>
      <c r="H123">
        <f>358.8</f>
        <v>358.8</v>
      </c>
      <c r="J123">
        <f>451+388</f>
        <v>839</v>
      </c>
      <c r="K123">
        <f>2698</f>
        <v>2698</v>
      </c>
      <c r="M123">
        <f>293.8+411+102+211.64+239+279</f>
        <v>1536.44</v>
      </c>
      <c r="N123">
        <f>398.8</f>
        <v>398.8</v>
      </c>
      <c r="O123">
        <v>5110</v>
      </c>
    </row>
    <row r="124" spans="1:17" x14ac:dyDescent="0.3">
      <c r="A124" s="53" t="s">
        <v>108</v>
      </c>
      <c r="B124" s="54">
        <v>20000</v>
      </c>
      <c r="C124" s="22">
        <f>F124+G124+H124+I124+J124+K124+L124+M124+N124+O124+P124+Q124</f>
        <v>22749.9</v>
      </c>
      <c r="D124" s="22">
        <f t="shared" si="11"/>
        <v>-2749.9000000000015</v>
      </c>
      <c r="E124" s="32"/>
      <c r="J124">
        <f>150+7000+800+75.9</f>
        <v>8025.9</v>
      </c>
      <c r="L124">
        <f>410+2498+1100</f>
        <v>4008</v>
      </c>
      <c r="Q124">
        <v>10716</v>
      </c>
    </row>
    <row r="125" spans="1:17" x14ac:dyDescent="0.3">
      <c r="A125" s="1"/>
      <c r="B125" s="50">
        <f>SUM(B121:B124)</f>
        <v>200000</v>
      </c>
      <c r="C125" s="50">
        <f>SUM(C121:C124)</f>
        <v>165678.09922900001</v>
      </c>
      <c r="D125" s="50">
        <f t="shared" si="11"/>
        <v>34321.900770999986</v>
      </c>
      <c r="E125" s="78"/>
    </row>
    <row r="126" spans="1:17" x14ac:dyDescent="0.3">
      <c r="A126" s="1"/>
      <c r="B126" s="1"/>
      <c r="C126" s="1"/>
      <c r="D126" s="1"/>
      <c r="E126" s="52"/>
    </row>
    <row r="127" spans="1:17" x14ac:dyDescent="0.3">
      <c r="A127" s="4" t="s">
        <v>109</v>
      </c>
      <c r="B127" s="1"/>
      <c r="C127" s="1"/>
      <c r="D127" s="1"/>
      <c r="E127" s="52"/>
    </row>
    <row r="128" spans="1:17" x14ac:dyDescent="0.3">
      <c r="A128" s="79" t="s">
        <v>110</v>
      </c>
      <c r="B128" s="80">
        <v>12000</v>
      </c>
      <c r="C128" s="22">
        <f>5000+Q129</f>
        <v>7000</v>
      </c>
      <c r="D128" s="22">
        <f>B128-C128</f>
        <v>5000</v>
      </c>
      <c r="E128" s="22" t="s">
        <v>150</v>
      </c>
    </row>
    <row r="129" spans="1:17" x14ac:dyDescent="0.3">
      <c r="A129" s="25" t="s">
        <v>111</v>
      </c>
      <c r="B129" s="25">
        <v>12000</v>
      </c>
      <c r="C129" s="22">
        <v>5000</v>
      </c>
      <c r="D129" s="25">
        <f>B129-C129</f>
        <v>7000</v>
      </c>
      <c r="E129" s="25" t="s">
        <v>151</v>
      </c>
      <c r="Q129">
        <v>2000</v>
      </c>
    </row>
    <row r="130" spans="1:17" x14ac:dyDescent="0.3">
      <c r="A130" s="81" t="s">
        <v>20</v>
      </c>
      <c r="B130" s="82">
        <f>SUM(B128:B129)</f>
        <v>24000</v>
      </c>
      <c r="C130" s="82">
        <f>SUM(C128:C129)</f>
        <v>12000</v>
      </c>
      <c r="D130" s="82">
        <f>B130-C130</f>
        <v>12000</v>
      </c>
      <c r="E130" s="83"/>
    </row>
    <row r="131" spans="1:17" x14ac:dyDescent="0.3">
      <c r="A131" s="1"/>
      <c r="B131" s="1"/>
      <c r="C131" s="1"/>
      <c r="D131" s="1"/>
      <c r="E131" s="52"/>
    </row>
    <row r="132" spans="1:17" x14ac:dyDescent="0.3">
      <c r="A132" s="84" t="s">
        <v>112</v>
      </c>
      <c r="B132" s="84">
        <f>B11-B20-B28-B32-B38-B48-B72-B79-B92-B118-B125-B130-B54</f>
        <v>817.27272727270611</v>
      </c>
      <c r="C132" s="85"/>
      <c r="D132" s="84">
        <f>D11-D130-D125-D118-D92-D79-D72-D54-D48-D38-D32-D28-D20</f>
        <v>-3096.5110437272888</v>
      </c>
      <c r="E132" s="86"/>
    </row>
    <row r="133" spans="1:17" x14ac:dyDescent="0.3">
      <c r="A133" s="87" t="s">
        <v>113</v>
      </c>
      <c r="B133" s="88">
        <f>B130+B125+B118+B92+B79+B72+B54+B48+B38+B32+B28+B20+B132</f>
        <v>1441727.2727272727</v>
      </c>
      <c r="C133" s="88">
        <f>C125+C118+C92+C79+C72+C54+C48+C38+C32+C28+C20+C130</f>
        <v>1496086.2162289999</v>
      </c>
      <c r="D133" s="88">
        <f>B133-C133</f>
        <v>-54358.94350172719</v>
      </c>
      <c r="E133" s="89"/>
    </row>
  </sheetData>
  <mergeCells count="3">
    <mergeCell ref="A1:A2"/>
    <mergeCell ref="B1:E2"/>
    <mergeCell ref="E9:E10"/>
  </mergeCells>
  <pageMargins left="0.7" right="0.7" top="0.75" bottom="0.75" header="0.3" footer="0.3"/>
  <pageSetup paperSize="9" fitToWidth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910BE-4EEA-4CCA-9CC3-9BA6AF2EB6CF}">
  <dimension ref="A1:F26"/>
  <sheetViews>
    <sheetView rightToLeft="1" topLeftCell="A10" workbookViewId="0">
      <selection activeCell="A15" sqref="A15"/>
    </sheetView>
  </sheetViews>
  <sheetFormatPr defaultRowHeight="14" x14ac:dyDescent="0.3"/>
  <cols>
    <col min="1" max="1" width="17.58203125" bestFit="1" customWidth="1"/>
    <col min="2" max="2" width="16.25" customWidth="1"/>
    <col min="3" max="3" width="13.33203125" bestFit="1" customWidth="1"/>
  </cols>
  <sheetData>
    <row r="1" spans="1:3" ht="18.5" thickBot="1" x14ac:dyDescent="0.45">
      <c r="A1" s="132" t="s">
        <v>144</v>
      </c>
      <c r="B1" s="133"/>
      <c r="C1" s="134"/>
    </row>
    <row r="2" spans="1:3" x14ac:dyDescent="0.3">
      <c r="A2" s="1"/>
      <c r="B2" s="114" t="s">
        <v>0</v>
      </c>
      <c r="C2" s="115" t="s">
        <v>148</v>
      </c>
    </row>
    <row r="3" spans="1:3" x14ac:dyDescent="0.3">
      <c r="A3" s="4" t="s">
        <v>4</v>
      </c>
      <c r="B3" s="110"/>
      <c r="C3" s="111"/>
    </row>
    <row r="4" spans="1:3" x14ac:dyDescent="0.3">
      <c r="A4" s="107" t="s">
        <v>5</v>
      </c>
      <c r="B4" s="112">
        <f>(4484*235+351*100+862*130)/(1.1)</f>
        <v>1091727.2727272727</v>
      </c>
      <c r="C4" s="112">
        <f>'תקציב תשפא'!C5</f>
        <v>1250000</v>
      </c>
    </row>
    <row r="5" spans="1:3" x14ac:dyDescent="0.3">
      <c r="A5" s="108" t="s">
        <v>6</v>
      </c>
      <c r="B5" s="113">
        <v>60000</v>
      </c>
      <c r="C5" s="112"/>
    </row>
    <row r="6" spans="1:3" x14ac:dyDescent="0.3">
      <c r="A6" s="108" t="s">
        <v>7</v>
      </c>
      <c r="B6" s="112">
        <v>150000</v>
      </c>
      <c r="C6" s="112">
        <f>'תקציב תשפא'!C7</f>
        <v>150000</v>
      </c>
    </row>
    <row r="7" spans="1:3" x14ac:dyDescent="0.3">
      <c r="A7" s="108" t="s">
        <v>8</v>
      </c>
      <c r="B7" s="113"/>
      <c r="C7" s="112"/>
    </row>
    <row r="8" spans="1:3" x14ac:dyDescent="0.3">
      <c r="A8" s="109" t="s">
        <v>119</v>
      </c>
      <c r="B8" s="113">
        <v>100000</v>
      </c>
      <c r="C8" s="112"/>
    </row>
    <row r="9" spans="1:3" ht="14.5" thickBot="1" x14ac:dyDescent="0.35">
      <c r="A9" s="109" t="s">
        <v>116</v>
      </c>
      <c r="B9" s="116">
        <f>40000</f>
        <v>40000</v>
      </c>
      <c r="C9" s="116"/>
    </row>
    <row r="10" spans="1:3" ht="14.5" thickBot="1" x14ac:dyDescent="0.35">
      <c r="A10" s="14" t="s">
        <v>9</v>
      </c>
      <c r="B10" s="117">
        <f>SUM(B4:B9)</f>
        <v>1441727.2727272727</v>
      </c>
      <c r="C10" s="118">
        <f>SUM(C4:C9)</f>
        <v>1400000</v>
      </c>
    </row>
    <row r="11" spans="1:3" ht="14.5" thickBot="1" x14ac:dyDescent="0.35"/>
    <row r="12" spans="1:3" ht="14.5" thickBot="1" x14ac:dyDescent="0.35">
      <c r="A12" s="97" t="s">
        <v>143</v>
      </c>
      <c r="B12" s="98" t="s">
        <v>0</v>
      </c>
      <c r="C12" s="99" t="s">
        <v>11</v>
      </c>
    </row>
    <row r="13" spans="1:3" x14ac:dyDescent="0.3">
      <c r="A13" s="96" t="s">
        <v>12</v>
      </c>
      <c r="B13" s="96">
        <f>'תקציב תשפא'!B20</f>
        <v>27900</v>
      </c>
      <c r="C13" s="104">
        <f>'תקציב תשפא'!C20</f>
        <v>71328.069999999992</v>
      </c>
    </row>
    <row r="14" spans="1:3" x14ac:dyDescent="0.3">
      <c r="A14" s="19" t="s">
        <v>21</v>
      </c>
      <c r="B14" s="19">
        <f>'תקציב תשפא'!B28</f>
        <v>44040</v>
      </c>
      <c r="C14" s="105">
        <f>'תקציב תשפא'!C28</f>
        <v>57023.176999999996</v>
      </c>
    </row>
    <row r="15" spans="1:3" x14ac:dyDescent="0.3">
      <c r="A15" s="19" t="s">
        <v>27</v>
      </c>
      <c r="B15" s="19">
        <f>'תקציב תשפא'!B32</f>
        <v>580000</v>
      </c>
      <c r="C15" s="106">
        <f>'תקציב תשפא'!C32</f>
        <v>688789.76</v>
      </c>
    </row>
    <row r="16" spans="1:3" x14ac:dyDescent="0.3">
      <c r="A16" s="19" t="s">
        <v>29</v>
      </c>
      <c r="B16" s="19">
        <f>'תקציב תשפא'!B38</f>
        <v>79000</v>
      </c>
      <c r="C16" s="106">
        <f>'תקציב תשפא'!C38</f>
        <v>104150.34</v>
      </c>
    </row>
    <row r="17" spans="1:6" x14ac:dyDescent="0.3">
      <c r="A17" s="19" t="s">
        <v>33</v>
      </c>
      <c r="B17" s="19">
        <f>'תקציב תשפא'!B48</f>
        <v>214000</v>
      </c>
      <c r="C17" s="105">
        <f>'תקציב תשפא'!C48</f>
        <v>167955.65</v>
      </c>
      <c r="F17" s="95"/>
    </row>
    <row r="18" spans="1:6" x14ac:dyDescent="0.3">
      <c r="A18" s="19" t="s">
        <v>43</v>
      </c>
      <c r="B18" s="19">
        <f>'תקציב תשפא'!B54</f>
        <v>6000</v>
      </c>
      <c r="C18" s="105">
        <f>'תקציב תשפא'!C54</f>
        <v>6550</v>
      </c>
    </row>
    <row r="19" spans="1:6" x14ac:dyDescent="0.3">
      <c r="A19" s="94" t="s">
        <v>123</v>
      </c>
      <c r="B19" s="94">
        <f>'תקציב תשפא'!B72</f>
        <v>36170</v>
      </c>
      <c r="C19" s="105">
        <f>'תקציב תשפא'!C72</f>
        <v>55903.68</v>
      </c>
    </row>
    <row r="20" spans="1:6" x14ac:dyDescent="0.3">
      <c r="A20" s="94" t="s">
        <v>63</v>
      </c>
      <c r="B20" s="94">
        <f>'תקציב תשפא'!B79</f>
        <v>25100</v>
      </c>
      <c r="C20" s="105">
        <f>'תקציב תשפא'!C79</f>
        <v>6114.51</v>
      </c>
    </row>
    <row r="21" spans="1:6" x14ac:dyDescent="0.3">
      <c r="A21" s="94" t="s">
        <v>68</v>
      </c>
      <c r="B21" s="94">
        <f>'תקציב תשפא'!B92</f>
        <v>53000</v>
      </c>
      <c r="C21" s="105">
        <f>'תקציב תשפא'!C92</f>
        <v>50662.04</v>
      </c>
    </row>
    <row r="22" spans="1:6" x14ac:dyDescent="0.3">
      <c r="A22" s="94" t="s">
        <v>81</v>
      </c>
      <c r="B22" s="94">
        <f>'תקציב תשפא'!B118</f>
        <v>151700</v>
      </c>
      <c r="C22" s="105">
        <f>'תקציב תשפא'!C118</f>
        <v>109930.89</v>
      </c>
    </row>
    <row r="23" spans="1:6" x14ac:dyDescent="0.3">
      <c r="A23" s="94" t="s">
        <v>105</v>
      </c>
      <c r="B23" s="94">
        <f>'תקציב תשפא'!B125</f>
        <v>200000</v>
      </c>
      <c r="C23" s="105">
        <f>'תקציב תשפא'!C125</f>
        <v>165678.09922900001</v>
      </c>
    </row>
    <row r="24" spans="1:6" x14ac:dyDescent="0.3">
      <c r="A24" s="94" t="s">
        <v>109</v>
      </c>
      <c r="B24" s="94">
        <f>'תקציב תשפא'!B130</f>
        <v>24000</v>
      </c>
      <c r="C24" s="105">
        <f>'תקציב תשפא'!C130</f>
        <v>12000</v>
      </c>
    </row>
    <row r="25" spans="1:6" ht="14.5" thickBot="1" x14ac:dyDescent="0.35"/>
    <row r="26" spans="1:6" ht="14.5" thickBot="1" x14ac:dyDescent="0.35">
      <c r="A26" s="103" t="s">
        <v>149</v>
      </c>
      <c r="B26" s="119">
        <f>SUM(B13:B25)</f>
        <v>1440910</v>
      </c>
      <c r="C26" s="120">
        <f>SUM(C13:C25)</f>
        <v>1496086.2162289999</v>
      </c>
    </row>
  </sheetData>
  <mergeCells count="1">
    <mergeCell ref="A1:C1"/>
  </mergeCells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תקציב תשפא</vt:lpstr>
      <vt:lpstr>סיכום צפי מול הוצאה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gizba</dc:creator>
  <cp:lastModifiedBy>יהודית רוטמן חנה</cp:lastModifiedBy>
  <cp:lastPrinted>2021-12-27T13:44:05Z</cp:lastPrinted>
  <dcterms:created xsi:type="dcterms:W3CDTF">2020-07-28T08:55:24Z</dcterms:created>
  <dcterms:modified xsi:type="dcterms:W3CDTF">2021-12-27T13:44:14Z</dcterms:modified>
</cp:coreProperties>
</file>